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hidePivotFieldList="1"/>
  <bookViews>
    <workbookView xWindow="1500" yWindow="690" windowWidth="5070" windowHeight="5850"/>
  </bookViews>
  <sheets>
    <sheet name="Cover Page" sheetId="8" r:id="rId1"/>
    <sheet name="Analysis" sheetId="3" r:id="rId2"/>
    <sheet name="Data" sheetId="2" r:id="rId3"/>
    <sheet name="Reference" sheetId="7" r:id="rId4"/>
  </sheets>
  <externalReferences>
    <externalReference r:id="rId5"/>
  </externalReferences>
  <definedNames>
    <definedName name="ExpResult" localSheetId="0">#REF!</definedName>
    <definedName name="ExpResult">#REF!</definedName>
    <definedName name="InputVal" localSheetId="0">#REF!</definedName>
    <definedName name="InputVal">#REF!</definedName>
    <definedName name="InputValDivMaxTimes10" localSheetId="0">#REF!</definedName>
    <definedName name="InputValDivMaxTimes10">#REF!</definedName>
    <definedName name="_xlnm.Print_Area" localSheetId="0">'Cover Page'!$A$1:$A$27</definedName>
    <definedName name="Rho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3" i="3" l="1"/>
  <c r="S107" i="2" l="1"/>
  <c r="O55" i="2" l="1"/>
  <c r="P55" i="2"/>
  <c r="Q55" i="2"/>
  <c r="R55" i="2"/>
  <c r="S55" i="2"/>
  <c r="T55" i="2"/>
  <c r="U55" i="2"/>
  <c r="V55" i="2"/>
  <c r="N55" i="2"/>
  <c r="S105" i="2" l="1"/>
  <c r="S106" i="2" s="1"/>
  <c r="S108" i="2" l="1"/>
  <c r="AD27" i="2"/>
  <c r="AD32" i="2"/>
  <c r="T23" i="2"/>
  <c r="T25" i="2"/>
  <c r="AC25" i="2" s="1"/>
  <c r="T27" i="2"/>
  <c r="T29" i="2"/>
  <c r="T30" i="2"/>
  <c r="T31" i="2"/>
  <c r="AC31" i="2" s="1"/>
  <c r="T32" i="2"/>
  <c r="T33" i="2"/>
  <c r="T21" i="2"/>
  <c r="T35" i="2" s="1"/>
  <c r="Z33" i="2"/>
  <c r="AD33" i="2" s="1"/>
  <c r="Z32" i="2"/>
  <c r="Z31" i="2"/>
  <c r="AD31" i="2" s="1"/>
  <c r="Z30" i="2"/>
  <c r="AD30" i="2" s="1"/>
  <c r="Z29" i="2"/>
  <c r="AD29" i="2" s="1"/>
  <c r="Z27" i="2"/>
  <c r="Z25" i="2"/>
  <c r="AD25" i="2" s="1"/>
  <c r="Z23" i="2"/>
  <c r="AD23" i="2" s="1"/>
  <c r="Z21" i="2"/>
  <c r="Z35" i="2" s="1"/>
  <c r="X33" i="2"/>
  <c r="AC33" i="2" s="1"/>
  <c r="X32" i="2"/>
  <c r="AC32" i="2" s="1"/>
  <c r="X31" i="2"/>
  <c r="X30" i="2"/>
  <c r="AC30" i="2" s="1"/>
  <c r="X29" i="2"/>
  <c r="AC29" i="2" s="1"/>
  <c r="X27" i="2"/>
  <c r="AC27" i="2" s="1"/>
  <c r="X25" i="2"/>
  <c r="X23" i="2"/>
  <c r="AC23" i="2" s="1"/>
  <c r="X21" i="2"/>
  <c r="AC21" i="2" s="1"/>
  <c r="V32" i="2"/>
  <c r="AB32" i="2" s="1"/>
  <c r="V33" i="2"/>
  <c r="AB33" i="2" s="1"/>
  <c r="V23" i="2"/>
  <c r="AB23" i="2" s="1"/>
  <c r="V25" i="2"/>
  <c r="AB25" i="2" s="1"/>
  <c r="V27" i="2"/>
  <c r="AB27" i="2" s="1"/>
  <c r="V29" i="2"/>
  <c r="AB29" i="2" s="1"/>
  <c r="V30" i="2"/>
  <c r="AB30" i="2" s="1"/>
  <c r="V31" i="2"/>
  <c r="AB31" i="2" s="1"/>
  <c r="V21" i="2"/>
  <c r="AB21" i="2" s="1"/>
  <c r="V35" i="2" l="1"/>
  <c r="X35" i="2"/>
  <c r="AD21" i="2"/>
  <c r="AD35" i="2" s="1"/>
  <c r="AD36" i="2" s="1"/>
  <c r="P14" i="3"/>
  <c r="S109" i="2"/>
  <c r="AD21" i="3"/>
  <c r="L21" i="3"/>
  <c r="Z36" i="2" l="1"/>
  <c r="I38" i="2"/>
  <c r="H38" i="2"/>
  <c r="G38" i="2"/>
  <c r="F38" i="2"/>
  <c r="E38" i="2"/>
  <c r="D38" i="2"/>
  <c r="C38" i="2"/>
  <c r="I35" i="2"/>
  <c r="F13" i="2"/>
  <c r="E13" i="2"/>
  <c r="D13" i="2"/>
  <c r="C13" i="2"/>
  <c r="I10" i="2"/>
  <c r="B38" i="2" l="1"/>
  <c r="I41" i="2" s="1"/>
  <c r="I43" i="2" s="1"/>
  <c r="I45" i="2" s="1"/>
  <c r="P21" i="3" s="1"/>
  <c r="B13" i="2"/>
  <c r="I16" i="2" s="1"/>
  <c r="I18" i="2" s="1"/>
  <c r="I20" i="2" s="1"/>
  <c r="L14" i="3" l="1"/>
  <c r="D9" i="3" l="1"/>
  <c r="U11" i="3" s="1"/>
  <c r="Y21" i="3" s="1"/>
  <c r="Y14" i="3" l="1"/>
  <c r="D7" i="3"/>
  <c r="S11" i="3" s="1"/>
  <c r="W21" i="3" s="1"/>
  <c r="D8" i="3"/>
  <c r="T11" i="3" s="1"/>
  <c r="X21" i="3" s="1"/>
  <c r="D5" i="3"/>
  <c r="D6" i="3"/>
  <c r="R11" i="3" s="1"/>
  <c r="V21" i="3" s="1"/>
  <c r="AD14" i="3"/>
  <c r="Q14" i="3" l="1"/>
  <c r="Q21" i="3"/>
  <c r="Z21" i="3" s="1"/>
  <c r="V14" i="3"/>
  <c r="W14" i="3"/>
  <c r="Q11" i="3"/>
  <c r="X14" i="3"/>
  <c r="E5" i="3"/>
  <c r="AA21" i="3" l="1"/>
  <c r="AC21" i="3" s="1"/>
  <c r="AE21" i="3" s="1"/>
  <c r="Z14" i="3"/>
  <c r="AA14" i="3" s="1"/>
  <c r="AC14" i="3" l="1"/>
  <c r="I12" i="7"/>
  <c r="I11" i="7"/>
  <c r="I29" i="7"/>
  <c r="I10" i="7"/>
  <c r="I18" i="7"/>
  <c r="I17" i="7"/>
  <c r="I16" i="7"/>
  <c r="I9" i="7"/>
  <c r="I19" i="7"/>
  <c r="I3" i="7"/>
  <c r="I15" i="7"/>
  <c r="I14" i="7"/>
  <c r="I8" i="7"/>
  <c r="I27" i="7"/>
  <c r="I26" i="7"/>
  <c r="I13" i="7"/>
  <c r="I7" i="7"/>
  <c r="I6" i="7"/>
  <c r="I5" i="7"/>
  <c r="P8" i="7"/>
  <c r="I25" i="7"/>
  <c r="P7" i="7"/>
  <c r="I4" i="7"/>
  <c r="P6" i="7"/>
  <c r="I2" i="7"/>
  <c r="P5" i="7"/>
  <c r="I24" i="7"/>
  <c r="P4" i="7"/>
  <c r="I23" i="7"/>
  <c r="P3" i="7"/>
  <c r="I22" i="7"/>
  <c r="P2" i="7"/>
  <c r="I21" i="7"/>
  <c r="AE14" i="3" l="1"/>
  <c r="AF21" i="3" s="1"/>
  <c r="I20" i="7"/>
  <c r="I28" i="7"/>
  <c r="AF14" i="3" l="1"/>
</calcChain>
</file>

<file path=xl/sharedStrings.xml><?xml version="1.0" encoding="utf-8"?>
<sst xmlns="http://schemas.openxmlformats.org/spreadsheetml/2006/main" count="638" uniqueCount="205">
  <si>
    <t>Financial</t>
  </si>
  <si>
    <t>Frequency</t>
  </si>
  <si>
    <t>Baseline Residual Risk</t>
  </si>
  <si>
    <t>Original</t>
  </si>
  <si>
    <t>Original Baseline</t>
  </si>
  <si>
    <t>Safety Consequence</t>
  </si>
  <si>
    <t>Reliability Consequence</t>
  </si>
  <si>
    <t>Compliance Consequence</t>
  </si>
  <si>
    <t>Financial Consequence</t>
  </si>
  <si>
    <t>(000s)</t>
  </si>
  <si>
    <t>Enable</t>
  </si>
  <si>
    <t>Project ID</t>
  </si>
  <si>
    <t>Name</t>
  </si>
  <si>
    <t>Annuity</t>
  </si>
  <si>
    <t>New/Existing</t>
  </si>
  <si>
    <t>Life of the Project</t>
  </si>
  <si>
    <t>Frequency %</t>
  </si>
  <si>
    <t>Safety</t>
  </si>
  <si>
    <t>Reliability</t>
  </si>
  <si>
    <t>Compliance</t>
  </si>
  <si>
    <t>Existing</t>
  </si>
  <si>
    <t>Weights on Each Mitigation</t>
  </si>
  <si>
    <t>Annuity instead of Capital Cost</t>
  </si>
  <si>
    <t>Probability</t>
  </si>
  <si>
    <t>1 - Risk Starting Value Lookup Question</t>
  </si>
  <si>
    <t>AA1 Frequency</t>
  </si>
  <si>
    <t>AA2 Safety Consequence</t>
  </si>
  <si>
    <t>AA3 Reliability Consequence</t>
  </si>
  <si>
    <t>AA4 Compliance Consequence</t>
  </si>
  <si>
    <t>AA5 Financial Consequence</t>
  </si>
  <si>
    <t>AA6 Baseline Risk Score</t>
  </si>
  <si>
    <t>Calculated Baseline</t>
  </si>
  <si>
    <t>Consequence</t>
  </si>
  <si>
    <t>SCG - Catastrophic Damage involving Gas Infrastructure (Dig-Ins)</t>
  </si>
  <si>
    <t>SCG - Catastrophic Damage Involving Gas Transmission Pipeline Failure</t>
  </si>
  <si>
    <t>SCG - Catastrophic Damage involving Medium and Non-DOT Pipeline Failure</t>
  </si>
  <si>
    <t>Before</t>
  </si>
  <si>
    <t>SCG - Catastrophic Event related to Storage Well Integrity</t>
  </si>
  <si>
    <t>SCG - Cyber Security</t>
  </si>
  <si>
    <t>SCG - Employee, Contractor, Customer and Public  Safety</t>
  </si>
  <si>
    <t>SCG - Physical Security of Critical Infrastructure</t>
  </si>
  <si>
    <t>SCG - Records Management</t>
  </si>
  <si>
    <t>SCG - Workforce Planning</t>
  </si>
  <si>
    <t>Weights</t>
  </si>
  <si>
    <t>SCG - Workplace Violence</t>
  </si>
  <si>
    <t>SDGE - Aviation Incident</t>
  </si>
  <si>
    <t>SDGE - Catastrophic Damage involving Gas Infrastructure (Dig-Ins)</t>
  </si>
  <si>
    <t>SDGE - Catastrophic Damage Involving Gas Transmission Pipeline Failure</t>
  </si>
  <si>
    <t>Impact</t>
  </si>
  <si>
    <t>SDGE - Catastrophic Damage Involving Medium and non-DOT Pipeline Failure</t>
  </si>
  <si>
    <t>SDGE - Cyber Security</t>
  </si>
  <si>
    <t>Finance</t>
  </si>
  <si>
    <t>SDGE - Distributed Energy Resources (DERs) Safety and Operational Concerns</t>
  </si>
  <si>
    <t>SDGE - Electric Infrastructure Integrity</t>
  </si>
  <si>
    <t>SDGE - Employee, Contractor &amp; Public Safety</t>
  </si>
  <si>
    <t>SDGE - Fail to Black Start</t>
  </si>
  <si>
    <t>SDGE - Major Disturbance to Electrical Service (e.g. Blackout)</t>
  </si>
  <si>
    <t>SDGE - Public Safety Events - Electric</t>
  </si>
  <si>
    <t>SDGE - Records Management</t>
  </si>
  <si>
    <t>SDGE - Violation of Environmental Policies/Procedures</t>
  </si>
  <si>
    <t>SDGE - Wildfires caused by SDG&amp;E Equipment (including 3rd Party Pole Attachments)</t>
  </si>
  <si>
    <t>After</t>
  </si>
  <si>
    <t>SDGE - Workforce Planning</t>
  </si>
  <si>
    <t>SDGE - Workplace Violence</t>
  </si>
  <si>
    <t>B1</t>
  </si>
  <si>
    <t>Cost</t>
  </si>
  <si>
    <t>Baseline</t>
  </si>
  <si>
    <t>New Frequency</t>
  </si>
  <si>
    <t>New Score</t>
  </si>
  <si>
    <t>New Consequence Scores, weighted</t>
  </si>
  <si>
    <t>Rank</t>
  </si>
  <si>
    <t>Mitigation Weight</t>
  </si>
  <si>
    <t>SDGE - Climate Change Adaptation</t>
  </si>
  <si>
    <t>SDGE - Unmanned Aircraft System (UAS) Incident</t>
  </si>
  <si>
    <t>2, 8</t>
  </si>
  <si>
    <t>Description</t>
  </si>
  <si>
    <t/>
  </si>
  <si>
    <t>Capital Cost (2017-2019)</t>
  </si>
  <si>
    <t>OM Cost (2017-2019 average)</t>
  </si>
  <si>
    <t>RAMP employees are included in this analysis</t>
  </si>
  <si>
    <t xml:space="preserve"> Productivity</t>
  </si>
  <si>
    <t>0-5</t>
  </si>
  <si>
    <t>6-10</t>
  </si>
  <si>
    <t>11-15</t>
  </si>
  <si>
    <t>16-20</t>
  </si>
  <si>
    <t>21-25</t>
  </si>
  <si>
    <t>26-30</t>
  </si>
  <si>
    <t>31-35</t>
  </si>
  <si>
    <t>35-40</t>
  </si>
  <si>
    <t>Seniority, years</t>
  </si>
  <si>
    <t>Seniority percentages (sum = 100%)</t>
  </si>
  <si>
    <t>Average proficiency level by years of seniority (maximum = 100%)</t>
  </si>
  <si>
    <t>Current proficiency</t>
  </si>
  <si>
    <t>Seniority percentages after turnover (sum = 100%)</t>
  </si>
  <si>
    <t>New clerical/union percentages after turnover (sum = 100%)</t>
  </si>
  <si>
    <t>Proficiency after turnover</t>
  </si>
  <si>
    <t xml:space="preserve"> Proficiency advantage</t>
  </si>
  <si>
    <t>Percentage improvement</t>
  </si>
  <si>
    <t xml:space="preserve"> Workforce turnover by year 2019</t>
  </si>
  <si>
    <t>Safety-related employees are included in this analysis</t>
  </si>
  <si>
    <t>Recorded</t>
  </si>
  <si>
    <t>Estimated</t>
  </si>
  <si>
    <t>Test Year</t>
  </si>
  <si>
    <t>Non-GRC</t>
  </si>
  <si>
    <t>2015-2019</t>
  </si>
  <si>
    <t>Change</t>
  </si>
  <si>
    <t>Gas Ops</t>
  </si>
  <si>
    <t>CSG/Smart Meter</t>
  </si>
  <si>
    <t>Kearny</t>
  </si>
  <si>
    <t>ERO</t>
  </si>
  <si>
    <t>Electric Grid Ops</t>
  </si>
  <si>
    <t>Constr. Svcs</t>
  </si>
  <si>
    <t>Electric Dist Ops</t>
  </si>
  <si>
    <t>Electric T&amp;D</t>
  </si>
  <si>
    <t>Org. Effect.</t>
  </si>
  <si>
    <t>Total:</t>
  </si>
  <si>
    <t>FTE Increase:</t>
  </si>
  <si>
    <t>P1</t>
  </si>
  <si>
    <t>Rationale</t>
  </si>
  <si>
    <t>Workforce planning - Baseline</t>
  </si>
  <si>
    <t>Workforce planning - Proposed</t>
  </si>
  <si>
    <t>Workforce planning, training, succession planning</t>
  </si>
  <si>
    <t>0-1</t>
  </si>
  <si>
    <t>1-3</t>
  </si>
  <si>
    <t>Distribution and transmission</t>
  </si>
  <si>
    <t>State</t>
  </si>
  <si>
    <t>Per million per  year</t>
  </si>
  <si>
    <t>AK</t>
  </si>
  <si>
    <t>AL</t>
  </si>
  <si>
    <t>AZ</t>
  </si>
  <si>
    <t>CT</t>
  </si>
  <si>
    <t>DE</t>
  </si>
  <si>
    <t>HI</t>
  </si>
  <si>
    <t>IN</t>
  </si>
  <si>
    <t>ME</t>
  </si>
  <si>
    <t>MD</t>
  </si>
  <si>
    <t>MO</t>
  </si>
  <si>
    <t>MT</t>
  </si>
  <si>
    <t>ND</t>
  </si>
  <si>
    <t>NH</t>
  </si>
  <si>
    <t>OR</t>
  </si>
  <si>
    <t>RI</t>
  </si>
  <si>
    <t>SC</t>
  </si>
  <si>
    <t>SD</t>
  </si>
  <si>
    <t>UT</t>
  </si>
  <si>
    <t>VA</t>
  </si>
  <si>
    <t>VT</t>
  </si>
  <si>
    <t>WI</t>
  </si>
  <si>
    <t>WV</t>
  </si>
  <si>
    <t>WY</t>
  </si>
  <si>
    <t>SDGE</t>
  </si>
  <si>
    <t>SCE</t>
  </si>
  <si>
    <t>FL</t>
  </si>
  <si>
    <t>NJ</t>
  </si>
  <si>
    <t>WA</t>
  </si>
  <si>
    <t>NY</t>
  </si>
  <si>
    <t>TN</t>
  </si>
  <si>
    <t>CA</t>
  </si>
  <si>
    <t>CO</t>
  </si>
  <si>
    <t>TX</t>
  </si>
  <si>
    <t>NC</t>
  </si>
  <si>
    <t>National</t>
  </si>
  <si>
    <t>KY</t>
  </si>
  <si>
    <t>PA</t>
  </si>
  <si>
    <t>OH</t>
  </si>
  <si>
    <t>OK</t>
  </si>
  <si>
    <t>IL</t>
  </si>
  <si>
    <t>MS</t>
  </si>
  <si>
    <t>MI</t>
  </si>
  <si>
    <t>GA</t>
  </si>
  <si>
    <t>MA</t>
  </si>
  <si>
    <t>MN</t>
  </si>
  <si>
    <t>ID</t>
  </si>
  <si>
    <t>AR</t>
  </si>
  <si>
    <t>NV</t>
  </si>
  <si>
    <t>NM</t>
  </si>
  <si>
    <t>IA</t>
  </si>
  <si>
    <t>KS</t>
  </si>
  <si>
    <t>NE</t>
  </si>
  <si>
    <t>LA</t>
  </si>
  <si>
    <t>DC</t>
  </si>
  <si>
    <t>Population</t>
  </si>
  <si>
    <t>SCG</t>
  </si>
  <si>
    <t xml:space="preserve"> Ending rate, State of Louisiana</t>
  </si>
  <si>
    <t xml:space="preserve"> Difference in rates</t>
  </si>
  <si>
    <t xml:space="preserve"> Total incidents per year</t>
  </si>
  <si>
    <t xml:space="preserve"> Level 3 frequency rate</t>
  </si>
  <si>
    <t xml:space="preserve"> Ratio</t>
  </si>
  <si>
    <t>New</t>
  </si>
  <si>
    <t>&gt;35</t>
  </si>
  <si>
    <t>Assumed that effect takes place over a long time close to 10 years so gave only partial credit (1/3) consistent with gas risks</t>
  </si>
  <si>
    <t>Derived from proficiency degradation and improvement from new initiatives (0% now)</t>
  </si>
  <si>
    <t xml:space="preserve"> Starting rate, SDGE</t>
  </si>
  <si>
    <t>Adjustment Factor</t>
  </si>
  <si>
    <t>Score Category</t>
  </si>
  <si>
    <t>Controls</t>
  </si>
  <si>
    <t>Adjusted Baseline</t>
  </si>
  <si>
    <t>RSE</t>
  </si>
  <si>
    <t>New Score (for life of project)</t>
  </si>
  <si>
    <t>2016 Risk Assessment Mitigation Phase</t>
  </si>
  <si>
    <t>Investigation 16-10-015</t>
  </si>
  <si>
    <t>Risk Spend Efficiency Workpapers to</t>
  </si>
  <si>
    <t>January 2017</t>
  </si>
  <si>
    <t>Workforce Planning</t>
  </si>
  <si>
    <t>(Chapter SDG&amp;E-17-WP-RSE)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</si>
</sst>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0"/>
    <numFmt numFmtId="167" formatCode="_-* #,##0_-;\-* #,##0_-;_-* &quot;-&quot;??_-;_-@_-"/>
    <numFmt numFmtId="168" formatCode="_-&quot;$&quot;* #,##0.00_-;\-&quot;$&quot;* #,##0.00_-;_-&quot;$&quot;* &quot;-&quot;??_-;_-@_-"/>
    <numFmt numFmtId="169" formatCode="0.0%"/>
    <numFmt numFmtId="170" formatCode="0.00000"/>
    <numFmt numFmtId="171" formatCode="&quot;$&quot;#,##0.00"/>
    <numFmt numFmtId="172" formatCode="0.0000000"/>
    <numFmt numFmtId="173" formatCode="0.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0"/>
      <name val="Arial"/>
      <family val="2"/>
    </font>
    <font>
      <sz val="12"/>
      <color theme="0"/>
      <name val="Arial"/>
      <family val="2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</font>
    <font>
      <sz val="11"/>
      <color rgb="FF006100"/>
      <name val="Calibri"/>
      <family val="2"/>
      <scheme val="minor"/>
    </font>
    <font>
      <b/>
      <sz val="28"/>
      <color rgb="FFFF0000"/>
      <name val="Times New Roman"/>
      <family val="1"/>
    </font>
    <font>
      <b/>
      <sz val="28"/>
      <name val="Times New Roman"/>
      <family val="1"/>
    </font>
    <font>
      <b/>
      <sz val="28"/>
      <color theme="1"/>
      <name val="Times New Roman"/>
      <family val="1"/>
    </font>
    <font>
      <sz val="11"/>
      <color rgb="FF5A5A5A"/>
      <name val="Times New Roman"/>
      <family val="1"/>
    </font>
    <font>
      <sz val="14"/>
      <color rgb="FF5A5A5A"/>
      <name val="Times New Roman"/>
      <family val="1"/>
    </font>
    <font>
      <sz val="11"/>
      <color indexed="9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5"/>
        <bgColor indexed="55"/>
      </patternFill>
    </fill>
    <fill>
      <patternFill patternType="solid">
        <fgColor indexed="18"/>
        <bgColor indexed="18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2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5" fillId="8" borderId="0" applyNumberFormat="0" applyBorder="0" applyAlignment="0" applyProtection="0"/>
    <xf numFmtId="0" fontId="5" fillId="16" borderId="0" applyNumberFormat="0" applyBorder="0" applyAlignment="0" applyProtection="0"/>
    <xf numFmtId="0" fontId="21" fillId="9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2" fillId="20" borderId="0" applyNumberFormat="0" applyBorder="0" applyAlignment="0" applyProtection="0"/>
    <xf numFmtId="0" fontId="23" fillId="24" borderId="20" applyNumberFormat="0" applyAlignment="0" applyProtection="0"/>
    <xf numFmtId="0" fontId="24" fillId="17" borderId="21" applyNumberFormat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5" fillId="13" borderId="0" applyNumberFormat="0" applyBorder="0" applyAlignment="0" applyProtection="0"/>
    <xf numFmtId="0" fontId="15" fillId="2" borderId="0" applyNumberFormat="0" applyBorder="0" applyAlignment="0" applyProtection="0"/>
    <xf numFmtId="0" fontId="26" fillId="0" borderId="22" applyNumberFormat="0" applyFill="0" applyAlignment="0" applyProtection="0"/>
    <xf numFmtId="0" fontId="27" fillId="0" borderId="23" applyNumberFormat="0" applyFill="0" applyAlignment="0" applyProtection="0"/>
    <xf numFmtId="0" fontId="28" fillId="0" borderId="24" applyNumberFormat="0" applyFill="0" applyAlignment="0" applyProtection="0"/>
    <xf numFmtId="0" fontId="28" fillId="0" borderId="0" applyNumberFormat="0" applyFill="0" applyBorder="0" applyAlignment="0" applyProtection="0"/>
    <xf numFmtId="0" fontId="29" fillId="21" borderId="20" applyNumberFormat="0" applyAlignment="0" applyProtection="0"/>
    <xf numFmtId="0" fontId="30" fillId="0" borderId="25" applyNumberFormat="0" applyFill="0" applyAlignment="0" applyProtection="0"/>
    <xf numFmtId="0" fontId="30" fillId="21" borderId="0" applyNumberFormat="0" applyBorder="0" applyAlignment="0" applyProtection="0"/>
    <xf numFmtId="0" fontId="31" fillId="28" borderId="0"/>
    <xf numFmtId="0" fontId="32" fillId="0" borderId="0"/>
    <xf numFmtId="0" fontId="7" fillId="0" borderId="0"/>
    <xf numFmtId="0" fontId="5" fillId="0" borderId="0"/>
    <xf numFmtId="0" fontId="33" fillId="0" borderId="0"/>
    <xf numFmtId="0" fontId="31" fillId="28" borderId="0"/>
    <xf numFmtId="0" fontId="33" fillId="0" borderId="0"/>
    <xf numFmtId="0" fontId="7" fillId="0" borderId="0"/>
    <xf numFmtId="0" fontId="34" fillId="0" borderId="0"/>
    <xf numFmtId="0" fontId="7" fillId="0" borderId="0"/>
    <xf numFmtId="0" fontId="31" fillId="28" borderId="0"/>
    <xf numFmtId="0" fontId="31" fillId="28" borderId="0"/>
    <xf numFmtId="0" fontId="7" fillId="0" borderId="0"/>
    <xf numFmtId="0" fontId="31" fillId="28" borderId="0"/>
    <xf numFmtId="0" fontId="31" fillId="28" borderId="0"/>
    <xf numFmtId="0" fontId="31" fillId="28" borderId="0"/>
    <xf numFmtId="0" fontId="31" fillId="28" borderId="0"/>
    <xf numFmtId="0" fontId="31" fillId="20" borderId="20" applyNumberFormat="0" applyFont="0" applyAlignment="0" applyProtection="0"/>
    <xf numFmtId="0" fontId="1" fillId="3" borderId="19" applyNumberFormat="0" applyFont="0" applyAlignment="0" applyProtection="0"/>
    <xf numFmtId="0" fontId="35" fillId="24" borderId="26" applyNumberFormat="0" applyAlignment="0" applyProtection="0"/>
    <xf numFmtId="4" fontId="31" fillId="29" borderId="20" applyNumberFormat="0" applyProtection="0">
      <alignment vertical="center"/>
    </xf>
    <xf numFmtId="4" fontId="31" fillId="29" borderId="20" applyNumberFormat="0" applyProtection="0">
      <alignment vertical="center"/>
    </xf>
    <xf numFmtId="4" fontId="36" fillId="30" borderId="20" applyNumberFormat="0" applyProtection="0">
      <alignment vertical="center"/>
    </xf>
    <xf numFmtId="4" fontId="31" fillId="30" borderId="20" applyNumberFormat="0" applyProtection="0">
      <alignment horizontal="left" vertical="center" indent="1"/>
    </xf>
    <xf numFmtId="4" fontId="31" fillId="30" borderId="20" applyNumberFormat="0" applyProtection="0">
      <alignment horizontal="left" vertical="center" indent="1"/>
    </xf>
    <xf numFmtId="0" fontId="37" fillId="29" borderId="27" applyNumberFormat="0" applyProtection="0">
      <alignment horizontal="left" vertical="top" indent="1"/>
    </xf>
    <xf numFmtId="4" fontId="31" fillId="31" borderId="20" applyNumberFormat="0" applyProtection="0">
      <alignment horizontal="left" vertical="center" indent="1"/>
    </xf>
    <xf numFmtId="4" fontId="31" fillId="31" borderId="20" applyNumberFormat="0" applyProtection="0">
      <alignment horizontal="left" vertical="center" indent="1"/>
    </xf>
    <xf numFmtId="4" fontId="31" fillId="32" borderId="20" applyNumberFormat="0" applyProtection="0">
      <alignment horizontal="right" vertical="center"/>
    </xf>
    <xf numFmtId="4" fontId="31" fillId="32" borderId="20" applyNumberFormat="0" applyProtection="0">
      <alignment horizontal="right" vertical="center"/>
    </xf>
    <xf numFmtId="4" fontId="31" fillId="33" borderId="20" applyNumberFormat="0" applyProtection="0">
      <alignment horizontal="right" vertical="center"/>
    </xf>
    <xf numFmtId="4" fontId="31" fillId="33" borderId="20" applyNumberFormat="0" applyProtection="0">
      <alignment horizontal="right" vertical="center"/>
    </xf>
    <xf numFmtId="4" fontId="31" fillId="34" borderId="28" applyNumberFormat="0" applyProtection="0">
      <alignment horizontal="right" vertical="center"/>
    </xf>
    <xf numFmtId="4" fontId="31" fillId="34" borderId="28" applyNumberFormat="0" applyProtection="0">
      <alignment horizontal="right" vertical="center"/>
    </xf>
    <xf numFmtId="4" fontId="31" fillId="35" borderId="20" applyNumberFormat="0" applyProtection="0">
      <alignment horizontal="right" vertical="center"/>
    </xf>
    <xf numFmtId="4" fontId="31" fillId="35" borderId="20" applyNumberFormat="0" applyProtection="0">
      <alignment horizontal="right" vertical="center"/>
    </xf>
    <xf numFmtId="4" fontId="31" fillId="36" borderId="20" applyNumberFormat="0" applyProtection="0">
      <alignment horizontal="right" vertical="center"/>
    </xf>
    <xf numFmtId="4" fontId="31" fillId="36" borderId="20" applyNumberFormat="0" applyProtection="0">
      <alignment horizontal="right" vertical="center"/>
    </xf>
    <xf numFmtId="4" fontId="31" fillId="37" borderId="20" applyNumberFormat="0" applyProtection="0">
      <alignment horizontal="right" vertical="center"/>
    </xf>
    <xf numFmtId="4" fontId="31" fillId="37" borderId="20" applyNumberFormat="0" applyProtection="0">
      <alignment horizontal="right" vertical="center"/>
    </xf>
    <xf numFmtId="4" fontId="31" fillId="38" borderId="20" applyNumberFormat="0" applyProtection="0">
      <alignment horizontal="right" vertical="center"/>
    </xf>
    <xf numFmtId="4" fontId="31" fillId="38" borderId="20" applyNumberFormat="0" applyProtection="0">
      <alignment horizontal="right" vertical="center"/>
    </xf>
    <xf numFmtId="4" fontId="31" fillId="39" borderId="20" applyNumberFormat="0" applyProtection="0">
      <alignment horizontal="right" vertical="center"/>
    </xf>
    <xf numFmtId="4" fontId="31" fillId="39" borderId="20" applyNumberFormat="0" applyProtection="0">
      <alignment horizontal="right" vertical="center"/>
    </xf>
    <xf numFmtId="4" fontId="31" fillId="40" borderId="20" applyNumberFormat="0" applyProtection="0">
      <alignment horizontal="right" vertical="center"/>
    </xf>
    <xf numFmtId="4" fontId="31" fillId="40" borderId="20" applyNumberFormat="0" applyProtection="0">
      <alignment horizontal="right" vertical="center"/>
    </xf>
    <xf numFmtId="4" fontId="31" fillId="41" borderId="28" applyNumberFormat="0" applyProtection="0">
      <alignment horizontal="left" vertical="center" indent="1"/>
    </xf>
    <xf numFmtId="4" fontId="31" fillId="41" borderId="28" applyNumberFormat="0" applyProtection="0">
      <alignment horizontal="left" vertical="center" indent="1"/>
    </xf>
    <xf numFmtId="4" fontId="7" fillId="42" borderId="28" applyNumberFormat="0" applyProtection="0">
      <alignment horizontal="left" vertical="center" indent="1"/>
    </xf>
    <xf numFmtId="4" fontId="7" fillId="42" borderId="28" applyNumberFormat="0" applyProtection="0">
      <alignment horizontal="left" vertical="center" indent="1"/>
    </xf>
    <xf numFmtId="4" fontId="31" fillId="43" borderId="20" applyNumberFormat="0" applyProtection="0">
      <alignment horizontal="right" vertical="center"/>
    </xf>
    <xf numFmtId="4" fontId="31" fillId="43" borderId="20" applyNumberFormat="0" applyProtection="0">
      <alignment horizontal="right" vertical="center"/>
    </xf>
    <xf numFmtId="4" fontId="31" fillId="44" borderId="28" applyNumberFormat="0" applyProtection="0">
      <alignment horizontal="left" vertical="center" indent="1"/>
    </xf>
    <xf numFmtId="4" fontId="31" fillId="44" borderId="28" applyNumberFormat="0" applyProtection="0">
      <alignment horizontal="left" vertical="center" indent="1"/>
    </xf>
    <xf numFmtId="4" fontId="31" fillId="43" borderId="28" applyNumberFormat="0" applyProtection="0">
      <alignment horizontal="left" vertical="center" indent="1"/>
    </xf>
    <xf numFmtId="4" fontId="31" fillId="43" borderId="28" applyNumberFormat="0" applyProtection="0">
      <alignment horizontal="left" vertical="center" indent="1"/>
    </xf>
    <xf numFmtId="0" fontId="31" fillId="45" borderId="20" applyNumberFormat="0" applyProtection="0">
      <alignment horizontal="left" vertical="center" indent="1"/>
    </xf>
    <xf numFmtId="0" fontId="31" fillId="45" borderId="20" applyNumberFormat="0" applyProtection="0">
      <alignment horizontal="left" vertical="center" indent="1"/>
    </xf>
    <xf numFmtId="0" fontId="31" fillId="42" borderId="27" applyNumberFormat="0" applyProtection="0">
      <alignment horizontal="left" vertical="top" indent="1"/>
    </xf>
    <xf numFmtId="0" fontId="31" fillId="46" borderId="20" applyNumberFormat="0" applyProtection="0">
      <alignment horizontal="left" vertical="center" indent="1"/>
    </xf>
    <xf numFmtId="0" fontId="31" fillId="46" borderId="20" applyNumberFormat="0" applyProtection="0">
      <alignment horizontal="left" vertical="center" indent="1"/>
    </xf>
    <xf numFmtId="0" fontId="31" fillId="43" borderId="27" applyNumberFormat="0" applyProtection="0">
      <alignment horizontal="left" vertical="top" indent="1"/>
    </xf>
    <xf numFmtId="0" fontId="31" fillId="47" borderId="20" applyNumberFormat="0" applyProtection="0">
      <alignment horizontal="left" vertical="center" indent="1"/>
    </xf>
    <xf numFmtId="0" fontId="31" fillId="47" borderId="20" applyNumberFormat="0" applyProtection="0">
      <alignment horizontal="left" vertical="center" indent="1"/>
    </xf>
    <xf numFmtId="0" fontId="31" fillId="47" borderId="27" applyNumberFormat="0" applyProtection="0">
      <alignment horizontal="left" vertical="top" indent="1"/>
    </xf>
    <xf numFmtId="0" fontId="31" fillId="44" borderId="20" applyNumberFormat="0" applyProtection="0">
      <alignment horizontal="left" vertical="center" indent="1"/>
    </xf>
    <xf numFmtId="0" fontId="31" fillId="44" borderId="20" applyNumberFormat="0" applyProtection="0">
      <alignment horizontal="left" vertical="center" indent="1"/>
    </xf>
    <xf numFmtId="0" fontId="31" fillId="44" borderId="27" applyNumberFormat="0" applyProtection="0">
      <alignment horizontal="left" vertical="top" indent="1"/>
    </xf>
    <xf numFmtId="0" fontId="31" fillId="48" borderId="29" applyNumberFormat="0">
      <protection locked="0"/>
    </xf>
    <xf numFmtId="0" fontId="38" fillId="42" borderId="30" applyBorder="0"/>
    <xf numFmtId="4" fontId="39" fillId="49" borderId="27" applyNumberFormat="0" applyProtection="0">
      <alignment vertical="center"/>
    </xf>
    <xf numFmtId="4" fontId="36" fillId="50" borderId="1" applyNumberFormat="0" applyProtection="0">
      <alignment vertical="center"/>
    </xf>
    <xf numFmtId="4" fontId="39" fillId="45" borderId="27" applyNumberFormat="0" applyProtection="0">
      <alignment horizontal="left" vertical="center" indent="1"/>
    </xf>
    <xf numFmtId="0" fontId="39" fillId="49" borderId="27" applyNumberFormat="0" applyProtection="0">
      <alignment horizontal="left" vertical="top" indent="1"/>
    </xf>
    <xf numFmtId="4" fontId="31" fillId="0" borderId="20" applyNumberFormat="0" applyProtection="0">
      <alignment horizontal="right" vertical="center"/>
    </xf>
    <xf numFmtId="4" fontId="31" fillId="0" borderId="20" applyNumberFormat="0" applyProtection="0">
      <alignment horizontal="right" vertical="center"/>
    </xf>
    <xf numFmtId="4" fontId="36" fillId="51" borderId="20" applyNumberFormat="0" applyProtection="0">
      <alignment horizontal="right" vertical="center"/>
    </xf>
    <xf numFmtId="4" fontId="31" fillId="31" borderId="20" applyNumberFormat="0" applyProtection="0">
      <alignment horizontal="left" vertical="center" indent="1"/>
    </xf>
    <xf numFmtId="4" fontId="31" fillId="31" borderId="20" applyNumberFormat="0" applyProtection="0">
      <alignment horizontal="left" vertical="center" indent="1"/>
    </xf>
    <xf numFmtId="0" fontId="39" fillId="43" borderId="27" applyNumberFormat="0" applyProtection="0">
      <alignment horizontal="left" vertical="top" indent="1"/>
    </xf>
    <xf numFmtId="4" fontId="40" fillId="52" borderId="28" applyNumberFormat="0" applyProtection="0">
      <alignment horizontal="left" vertical="center" indent="1"/>
    </xf>
    <xf numFmtId="0" fontId="31" fillId="53" borderId="1"/>
    <xf numFmtId="0" fontId="31" fillId="53" borderId="1"/>
    <xf numFmtId="4" fontId="41" fillId="48" borderId="20" applyNumberFormat="0" applyProtection="0">
      <alignment horizontal="right" vertical="center"/>
    </xf>
    <xf numFmtId="0" fontId="42" fillId="0" borderId="0" applyNumberFormat="0" applyFill="0" applyBorder="0" applyAlignment="0" applyProtection="0"/>
    <xf numFmtId="0" fontId="1" fillId="54" borderId="7">
      <alignment horizontal="center" vertical="center" wrapText="1"/>
    </xf>
    <xf numFmtId="0" fontId="25" fillId="0" borderId="31" applyNumberFormat="0" applyFill="0" applyAlignment="0" applyProtection="0"/>
    <xf numFmtId="0" fontId="43" fillId="0" borderId="0" applyNumberFormat="0" applyFill="0" applyBorder="0" applyAlignment="0" applyProtection="0"/>
  </cellStyleXfs>
  <cellXfs count="144">
    <xf numFmtId="0" fontId="0" fillId="0" borderId="0" xfId="0"/>
    <xf numFmtId="0" fontId="0" fillId="0" borderId="1" xfId="0" applyFill="1" applyBorder="1"/>
    <xf numFmtId="9" fontId="4" fillId="0" borderId="1" xfId="2" applyFont="1" applyFill="1" applyBorder="1" applyAlignment="1">
      <alignment wrapText="1"/>
    </xf>
    <xf numFmtId="0" fontId="0" fillId="0" borderId="0" xfId="0" applyFill="1"/>
    <xf numFmtId="0" fontId="0" fillId="0" borderId="0" xfId="0" quotePrefix="1" applyNumberFormat="1" applyFill="1"/>
    <xf numFmtId="170" fontId="0" fillId="0" borderId="0" xfId="0" quotePrefix="1" applyNumberFormat="1" applyFill="1"/>
    <xf numFmtId="43" fontId="0" fillId="0" borderId="0" xfId="4" quotePrefix="1" applyFont="1" applyFill="1"/>
    <xf numFmtId="43" fontId="0" fillId="0" borderId="0" xfId="4" applyFont="1" applyFill="1"/>
    <xf numFmtId="0" fontId="0" fillId="0" borderId="0" xfId="0" applyFill="1" applyAlignment="1">
      <alignment wrapText="1"/>
    </xf>
    <xf numFmtId="0" fontId="6" fillId="0" borderId="0" xfId="0" applyFont="1" applyFill="1" applyAlignment="1"/>
    <xf numFmtId="165" fontId="3" fillId="0" borderId="4" xfId="3" applyNumberFormat="1" applyFont="1" applyFill="1" applyBorder="1"/>
    <xf numFmtId="165" fontId="3" fillId="0" borderId="4" xfId="0" applyNumberFormat="1" applyFont="1" applyFill="1" applyBorder="1"/>
    <xf numFmtId="169" fontId="3" fillId="0" borderId="4" xfId="2" applyNumberFormat="1" applyFont="1" applyFill="1" applyBorder="1"/>
    <xf numFmtId="167" fontId="3" fillId="0" borderId="4" xfId="0" applyNumberFormat="1" applyFont="1" applyFill="1" applyBorder="1"/>
    <xf numFmtId="171" fontId="3" fillId="0" borderId="4" xfId="0" applyNumberFormat="1" applyFont="1" applyFill="1" applyBorder="1"/>
    <xf numFmtId="0" fontId="3" fillId="0" borderId="4" xfId="3" applyNumberFormat="1" applyFont="1" applyFill="1" applyBorder="1"/>
    <xf numFmtId="2" fontId="3" fillId="0" borderId="4" xfId="0" applyNumberFormat="1" applyFont="1" applyFill="1" applyBorder="1"/>
    <xf numFmtId="2" fontId="3" fillId="0" borderId="4" xfId="3" applyNumberFormat="1" applyFont="1" applyFill="1" applyBorder="1"/>
    <xf numFmtId="0" fontId="11" fillId="0" borderId="0" xfId="0" applyFont="1" applyFill="1"/>
    <xf numFmtId="0" fontId="11" fillId="0" borderId="1" xfId="0" applyFont="1" applyFill="1" applyBorder="1" applyAlignment="1">
      <alignment horizontal="center" wrapText="1"/>
    </xf>
    <xf numFmtId="0" fontId="2" fillId="0" borderId="0" xfId="0" quotePrefix="1" applyNumberFormat="1" applyFont="1" applyFill="1"/>
    <xf numFmtId="0" fontId="2" fillId="0" borderId="0" xfId="0" applyNumberFormat="1" applyFont="1" applyFill="1"/>
    <xf numFmtId="0" fontId="4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165" fontId="0" fillId="0" borderId="1" xfId="4" applyNumberFormat="1" applyFont="1" applyFill="1" applyBorder="1"/>
    <xf numFmtId="0" fontId="7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173" fontId="0" fillId="0" borderId="0" xfId="0" applyNumberFormat="1" applyFill="1"/>
    <xf numFmtId="0" fontId="3" fillId="0" borderId="0" xfId="0" applyFont="1" applyFill="1"/>
    <xf numFmtId="171" fontId="3" fillId="0" borderId="0" xfId="0" applyNumberFormat="1" applyFont="1" applyFill="1"/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/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166" fontId="3" fillId="0" borderId="1" xfId="0" applyNumberFormat="1" applyFont="1" applyFill="1" applyBorder="1"/>
    <xf numFmtId="172" fontId="3" fillId="0" borderId="0" xfId="0" applyNumberFormat="1" applyFont="1" applyFill="1"/>
    <xf numFmtId="0" fontId="3" fillId="0" borderId="1" xfId="0" applyNumberFormat="1" applyFont="1" applyFill="1" applyBorder="1"/>
    <xf numFmtId="44" fontId="3" fillId="0" borderId="0" xfId="0" applyNumberFormat="1" applyFont="1" applyFill="1"/>
    <xf numFmtId="166" fontId="3" fillId="0" borderId="0" xfId="0" applyNumberFormat="1" applyFont="1" applyFill="1"/>
    <xf numFmtId="0" fontId="3" fillId="0" borderId="0" xfId="0" quotePrefix="1" applyFont="1" applyFill="1"/>
    <xf numFmtId="0" fontId="11" fillId="0" borderId="0" xfId="0" applyFont="1" applyFill="1" applyAlignment="1">
      <alignment wrapText="1"/>
    </xf>
    <xf numFmtId="0" fontId="11" fillId="0" borderId="0" xfId="0" applyFont="1" applyFill="1" applyBorder="1" applyAlignment="1">
      <alignment horizontal="center"/>
    </xf>
    <xf numFmtId="0" fontId="14" fillId="0" borderId="0" xfId="0" applyFont="1" applyFill="1" applyAlignment="1">
      <alignment wrapText="1"/>
    </xf>
    <xf numFmtId="9" fontId="11" fillId="0" borderId="1" xfId="2" applyFont="1" applyFill="1" applyBorder="1" applyAlignment="1">
      <alignment horizontal="center"/>
    </xf>
    <xf numFmtId="171" fontId="11" fillId="0" borderId="0" xfId="0" applyNumberFormat="1" applyFont="1" applyFill="1"/>
    <xf numFmtId="0" fontId="3" fillId="0" borderId="0" xfId="0" applyFont="1" applyFill="1" applyAlignment="1">
      <alignment wrapText="1"/>
    </xf>
    <xf numFmtId="171" fontId="11" fillId="0" borderId="1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164" fontId="3" fillId="0" borderId="4" xfId="1" applyNumberFormat="1" applyFont="1" applyFill="1" applyBorder="1"/>
    <xf numFmtId="0" fontId="3" fillId="0" borderId="4" xfId="0" applyFont="1" applyFill="1" applyBorder="1"/>
    <xf numFmtId="0" fontId="3" fillId="0" borderId="4" xfId="0" applyNumberFormat="1" applyFont="1" applyFill="1" applyBorder="1"/>
    <xf numFmtId="44" fontId="3" fillId="0" borderId="1" xfId="1" applyFont="1" applyFill="1" applyBorder="1"/>
    <xf numFmtId="0" fontId="3" fillId="0" borderId="0" xfId="0" applyFont="1" applyFill="1" applyBorder="1"/>
    <xf numFmtId="43" fontId="3" fillId="0" borderId="0" xfId="0" applyNumberFormat="1" applyFont="1" applyFill="1"/>
    <xf numFmtId="0" fontId="3" fillId="0" borderId="7" xfId="0" applyFont="1" applyFill="1" applyBorder="1" applyAlignment="1">
      <alignment wrapText="1"/>
    </xf>
    <xf numFmtId="164" fontId="3" fillId="0" borderId="0" xfId="1" applyNumberFormat="1" applyFont="1" applyFill="1" applyBorder="1"/>
    <xf numFmtId="2" fontId="3" fillId="0" borderId="0" xfId="0" applyNumberFormat="1" applyFont="1" applyFill="1" applyBorder="1"/>
    <xf numFmtId="0" fontId="3" fillId="0" borderId="0" xfId="0" applyNumberFormat="1" applyFont="1" applyFill="1" applyBorder="1"/>
    <xf numFmtId="165" fontId="3" fillId="0" borderId="0" xfId="3" applyNumberFormat="1" applyFont="1" applyFill="1" applyBorder="1"/>
    <xf numFmtId="165" fontId="3" fillId="0" borderId="0" xfId="0" applyNumberFormat="1" applyFont="1" applyFill="1" applyBorder="1"/>
    <xf numFmtId="169" fontId="3" fillId="0" borderId="0" xfId="2" applyNumberFormat="1" applyFont="1" applyFill="1" applyBorder="1"/>
    <xf numFmtId="167" fontId="3" fillId="0" borderId="0" xfId="0" applyNumberFormat="1" applyFont="1" applyFill="1" applyBorder="1"/>
    <xf numFmtId="171" fontId="3" fillId="0" borderId="0" xfId="0" applyNumberFormat="1" applyFont="1" applyFill="1" applyBorder="1"/>
    <xf numFmtId="43" fontId="3" fillId="0" borderId="0" xfId="3" applyFont="1" applyFill="1" applyBorder="1"/>
    <xf numFmtId="0" fontId="3" fillId="0" borderId="0" xfId="3" applyNumberFormat="1" applyFont="1" applyFill="1" applyBorder="1"/>
    <xf numFmtId="44" fontId="3" fillId="0" borderId="8" xfId="1" applyFont="1" applyFill="1" applyBorder="1"/>
    <xf numFmtId="43" fontId="3" fillId="0" borderId="1" xfId="3" applyFont="1" applyFill="1" applyBorder="1"/>
    <xf numFmtId="168" fontId="3" fillId="0" borderId="1" xfId="0" applyNumberFormat="1" applyFont="1" applyFill="1" applyBorder="1"/>
    <xf numFmtId="44" fontId="3" fillId="0" borderId="11" xfId="1" applyFont="1" applyFill="1" applyBorder="1"/>
    <xf numFmtId="43" fontId="3" fillId="0" borderId="4" xfId="3" applyFont="1" applyFill="1" applyBorder="1"/>
    <xf numFmtId="168" fontId="3" fillId="0" borderId="4" xfId="0" applyNumberFormat="1" applyFont="1" applyFill="1" applyBorder="1"/>
    <xf numFmtId="168" fontId="3" fillId="0" borderId="0" xfId="0" applyNumberFormat="1" applyFont="1" applyFill="1" applyBorder="1"/>
    <xf numFmtId="0" fontId="4" fillId="0" borderId="0" xfId="0" applyFont="1" applyFill="1"/>
    <xf numFmtId="0" fontId="3" fillId="0" borderId="9" xfId="0" applyFont="1" applyFill="1" applyBorder="1" applyAlignment="1">
      <alignment horizontal="center"/>
    </xf>
    <xf numFmtId="0" fontId="3" fillId="0" borderId="10" xfId="0" quotePrefix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/>
    <xf numFmtId="0" fontId="3" fillId="0" borderId="11" xfId="0" applyFont="1" applyFill="1" applyBorder="1"/>
    <xf numFmtId="1" fontId="3" fillId="0" borderId="12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0" fontId="3" fillId="0" borderId="12" xfId="0" applyFont="1" applyFill="1" applyBorder="1"/>
    <xf numFmtId="0" fontId="7" fillId="0" borderId="0" xfId="0" applyFont="1" applyFill="1" applyBorder="1"/>
    <xf numFmtId="0" fontId="3" fillId="0" borderId="2" xfId="0" applyFont="1" applyFill="1" applyBorder="1"/>
    <xf numFmtId="1" fontId="3" fillId="0" borderId="13" xfId="0" applyNumberFormat="1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0" fontId="3" fillId="0" borderId="13" xfId="0" applyFont="1" applyFill="1" applyBorder="1"/>
    <xf numFmtId="0" fontId="3" fillId="0" borderId="3" xfId="0" applyFont="1" applyFill="1" applyBorder="1"/>
    <xf numFmtId="0" fontId="3" fillId="0" borderId="14" xfId="0" applyFont="1" applyFill="1" applyBorder="1"/>
    <xf numFmtId="6" fontId="3" fillId="0" borderId="0" xfId="0" applyNumberFormat="1" applyFont="1" applyFill="1"/>
    <xf numFmtId="1" fontId="3" fillId="0" borderId="0" xfId="0" applyNumberFormat="1" applyFont="1" applyFill="1"/>
    <xf numFmtId="0" fontId="3" fillId="0" borderId="1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7" fillId="0" borderId="0" xfId="0" applyFont="1" applyFill="1"/>
    <xf numFmtId="1" fontId="3" fillId="0" borderId="9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0" fontId="7" fillId="0" borderId="10" xfId="0" applyFont="1" applyFill="1" applyBorder="1"/>
    <xf numFmtId="2" fontId="11" fillId="0" borderId="1" xfId="0" applyNumberFormat="1" applyFont="1" applyFill="1" applyBorder="1" applyAlignment="1">
      <alignment horizontal="center"/>
    </xf>
    <xf numFmtId="0" fontId="11" fillId="0" borderId="7" xfId="0" applyFont="1" applyFill="1" applyBorder="1"/>
    <xf numFmtId="0" fontId="11" fillId="0" borderId="15" xfId="0" applyFont="1" applyFill="1" applyBorder="1"/>
    <xf numFmtId="0" fontId="11" fillId="0" borderId="8" xfId="0" applyFont="1" applyFill="1" applyBorder="1"/>
    <xf numFmtId="173" fontId="3" fillId="0" borderId="0" xfId="0" applyNumberFormat="1" applyFont="1" applyFill="1" applyAlignment="1">
      <alignment horizontal="center"/>
    </xf>
    <xf numFmtId="16" fontId="3" fillId="0" borderId="0" xfId="0" quotePrefix="1" applyNumberFormat="1" applyFont="1" applyFill="1"/>
    <xf numFmtId="169" fontId="11" fillId="0" borderId="1" xfId="0" applyNumberFormat="1" applyFont="1" applyFill="1" applyBorder="1" applyAlignment="1">
      <alignment horizontal="center"/>
    </xf>
    <xf numFmtId="8" fontId="3" fillId="0" borderId="0" xfId="0" applyNumberFormat="1" applyFont="1" applyFill="1"/>
    <xf numFmtId="169" fontId="3" fillId="0" borderId="0" xfId="0" applyNumberFormat="1" applyFont="1" applyFill="1"/>
    <xf numFmtId="1" fontId="7" fillId="0" borderId="0" xfId="0" applyNumberFormat="1" applyFont="1" applyFill="1"/>
    <xf numFmtId="3" fontId="3" fillId="0" borderId="0" xfId="0" applyNumberFormat="1" applyFont="1" applyFill="1"/>
    <xf numFmtId="9" fontId="11" fillId="0" borderId="1" xfId="2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left"/>
    </xf>
    <xf numFmtId="0" fontId="3" fillId="0" borderId="18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11" fillId="0" borderId="2" xfId="0" applyFont="1" applyFill="1" applyBorder="1" applyAlignment="1">
      <alignment horizontal="center" vertical="center" textRotation="90" wrapText="1"/>
    </xf>
    <xf numFmtId="166" fontId="3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5" fontId="3" fillId="0" borderId="4" xfId="3" applyNumberFormat="1" applyFont="1" applyFill="1" applyBorder="1" applyAlignment="1">
      <alignment horizontal="center" vertical="center"/>
    </xf>
    <xf numFmtId="165" fontId="3" fillId="0" borderId="6" xfId="3" applyNumberFormat="1" applyFont="1" applyFill="1" applyBorder="1" applyAlignment="1">
      <alignment horizontal="center" vertical="center"/>
    </xf>
    <xf numFmtId="165" fontId="3" fillId="0" borderId="5" xfId="3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 textRotation="90" wrapText="1"/>
    </xf>
    <xf numFmtId="0" fontId="9" fillId="0" borderId="0" xfId="0" applyFont="1" applyFill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17" fontId="20" fillId="0" borderId="0" xfId="0" quotePrefix="1" applyNumberFormat="1" applyFont="1" applyAlignment="1">
      <alignment horizontal="center" vertical="center"/>
    </xf>
    <xf numFmtId="0" fontId="0" fillId="0" borderId="0" xfId="0" applyAlignment="1">
      <alignment horizontal="center"/>
    </xf>
  </cellXfs>
  <cellStyles count="726">
    <cellStyle name="Accent1 - 20%" xfId="5"/>
    <cellStyle name="Accent1 - 40%" xfId="6"/>
    <cellStyle name="Accent1 - 60%" xfId="7"/>
    <cellStyle name="Accent1 10" xfId="8"/>
    <cellStyle name="Accent1 100" xfId="9"/>
    <cellStyle name="Accent1 101" xfId="10"/>
    <cellStyle name="Accent1 11" xfId="11"/>
    <cellStyle name="Accent1 12" xfId="12"/>
    <cellStyle name="Accent1 13" xfId="13"/>
    <cellStyle name="Accent1 14" xfId="14"/>
    <cellStyle name="Accent1 15" xfId="15"/>
    <cellStyle name="Accent1 16" xfId="16"/>
    <cellStyle name="Accent1 17" xfId="17"/>
    <cellStyle name="Accent1 18" xfId="18"/>
    <cellStyle name="Accent1 19" xfId="19"/>
    <cellStyle name="Accent1 2" xfId="20"/>
    <cellStyle name="Accent1 20" xfId="21"/>
    <cellStyle name="Accent1 21" xfId="22"/>
    <cellStyle name="Accent1 22" xfId="23"/>
    <cellStyle name="Accent1 23" xfId="24"/>
    <cellStyle name="Accent1 24" xfId="25"/>
    <cellStyle name="Accent1 25" xfId="26"/>
    <cellStyle name="Accent1 26" xfId="27"/>
    <cellStyle name="Accent1 27" xfId="28"/>
    <cellStyle name="Accent1 28" xfId="29"/>
    <cellStyle name="Accent1 29" xfId="30"/>
    <cellStyle name="Accent1 3" xfId="31"/>
    <cellStyle name="Accent1 30" xfId="32"/>
    <cellStyle name="Accent1 31" xfId="33"/>
    <cellStyle name="Accent1 32" xfId="34"/>
    <cellStyle name="Accent1 33" xfId="35"/>
    <cellStyle name="Accent1 34" xfId="36"/>
    <cellStyle name="Accent1 35" xfId="37"/>
    <cellStyle name="Accent1 36" xfId="38"/>
    <cellStyle name="Accent1 37" xfId="39"/>
    <cellStyle name="Accent1 38" xfId="40"/>
    <cellStyle name="Accent1 39" xfId="41"/>
    <cellStyle name="Accent1 4" xfId="42"/>
    <cellStyle name="Accent1 40" xfId="43"/>
    <cellStyle name="Accent1 41" xfId="44"/>
    <cellStyle name="Accent1 42" xfId="45"/>
    <cellStyle name="Accent1 43" xfId="46"/>
    <cellStyle name="Accent1 44" xfId="47"/>
    <cellStyle name="Accent1 45" xfId="48"/>
    <cellStyle name="Accent1 46" xfId="49"/>
    <cellStyle name="Accent1 47" xfId="50"/>
    <cellStyle name="Accent1 48" xfId="51"/>
    <cellStyle name="Accent1 49" xfId="52"/>
    <cellStyle name="Accent1 5" xfId="53"/>
    <cellStyle name="Accent1 50" xfId="54"/>
    <cellStyle name="Accent1 51" xfId="55"/>
    <cellStyle name="Accent1 52" xfId="56"/>
    <cellStyle name="Accent1 53" xfId="57"/>
    <cellStyle name="Accent1 54" xfId="58"/>
    <cellStyle name="Accent1 55" xfId="59"/>
    <cellStyle name="Accent1 56" xfId="60"/>
    <cellStyle name="Accent1 57" xfId="61"/>
    <cellStyle name="Accent1 58" xfId="62"/>
    <cellStyle name="Accent1 59" xfId="63"/>
    <cellStyle name="Accent1 6" xfId="64"/>
    <cellStyle name="Accent1 60" xfId="65"/>
    <cellStyle name="Accent1 61" xfId="66"/>
    <cellStyle name="Accent1 62" xfId="67"/>
    <cellStyle name="Accent1 63" xfId="68"/>
    <cellStyle name="Accent1 64" xfId="69"/>
    <cellStyle name="Accent1 65" xfId="70"/>
    <cellStyle name="Accent1 66" xfId="71"/>
    <cellStyle name="Accent1 67" xfId="72"/>
    <cellStyle name="Accent1 68" xfId="73"/>
    <cellStyle name="Accent1 69" xfId="74"/>
    <cellStyle name="Accent1 7" xfId="75"/>
    <cellStyle name="Accent1 70" xfId="76"/>
    <cellStyle name="Accent1 71" xfId="77"/>
    <cellStyle name="Accent1 72" xfId="78"/>
    <cellStyle name="Accent1 73" xfId="79"/>
    <cellStyle name="Accent1 74" xfId="80"/>
    <cellStyle name="Accent1 75" xfId="81"/>
    <cellStyle name="Accent1 76" xfId="82"/>
    <cellStyle name="Accent1 77" xfId="83"/>
    <cellStyle name="Accent1 78" xfId="84"/>
    <cellStyle name="Accent1 79" xfId="85"/>
    <cellStyle name="Accent1 8" xfId="86"/>
    <cellStyle name="Accent1 80" xfId="87"/>
    <cellStyle name="Accent1 81" xfId="88"/>
    <cellStyle name="Accent1 82" xfId="89"/>
    <cellStyle name="Accent1 83" xfId="90"/>
    <cellStyle name="Accent1 84" xfId="91"/>
    <cellStyle name="Accent1 85" xfId="92"/>
    <cellStyle name="Accent1 86" xfId="93"/>
    <cellStyle name="Accent1 87" xfId="94"/>
    <cellStyle name="Accent1 88" xfId="95"/>
    <cellStyle name="Accent1 89" xfId="96"/>
    <cellStyle name="Accent1 9" xfId="97"/>
    <cellStyle name="Accent1 90" xfId="98"/>
    <cellStyle name="Accent1 91" xfId="99"/>
    <cellStyle name="Accent1 92" xfId="100"/>
    <cellStyle name="Accent1 93" xfId="101"/>
    <cellStyle name="Accent1 94" xfId="102"/>
    <cellStyle name="Accent1 95" xfId="103"/>
    <cellStyle name="Accent1 96" xfId="104"/>
    <cellStyle name="Accent1 97" xfId="105"/>
    <cellStyle name="Accent1 98" xfId="106"/>
    <cellStyle name="Accent1 99" xfId="107"/>
    <cellStyle name="Accent2 - 20%" xfId="108"/>
    <cellStyle name="Accent2 - 40%" xfId="109"/>
    <cellStyle name="Accent2 - 60%" xfId="110"/>
    <cellStyle name="Accent2 10" xfId="111"/>
    <cellStyle name="Accent2 100" xfId="112"/>
    <cellStyle name="Accent2 101" xfId="113"/>
    <cellStyle name="Accent2 11" xfId="114"/>
    <cellStyle name="Accent2 12" xfId="115"/>
    <cellStyle name="Accent2 13" xfId="116"/>
    <cellStyle name="Accent2 14" xfId="117"/>
    <cellStyle name="Accent2 15" xfId="118"/>
    <cellStyle name="Accent2 16" xfId="119"/>
    <cellStyle name="Accent2 17" xfId="120"/>
    <cellStyle name="Accent2 18" xfId="121"/>
    <cellStyle name="Accent2 19" xfId="122"/>
    <cellStyle name="Accent2 2" xfId="123"/>
    <cellStyle name="Accent2 20" xfId="124"/>
    <cellStyle name="Accent2 21" xfId="125"/>
    <cellStyle name="Accent2 22" xfId="126"/>
    <cellStyle name="Accent2 23" xfId="127"/>
    <cellStyle name="Accent2 24" xfId="128"/>
    <cellStyle name="Accent2 25" xfId="129"/>
    <cellStyle name="Accent2 26" xfId="130"/>
    <cellStyle name="Accent2 27" xfId="131"/>
    <cellStyle name="Accent2 28" xfId="132"/>
    <cellStyle name="Accent2 29" xfId="133"/>
    <cellStyle name="Accent2 3" xfId="134"/>
    <cellStyle name="Accent2 30" xfId="135"/>
    <cellStyle name="Accent2 31" xfId="136"/>
    <cellStyle name="Accent2 32" xfId="137"/>
    <cellStyle name="Accent2 33" xfId="138"/>
    <cellStyle name="Accent2 34" xfId="139"/>
    <cellStyle name="Accent2 35" xfId="140"/>
    <cellStyle name="Accent2 36" xfId="141"/>
    <cellStyle name="Accent2 37" xfId="142"/>
    <cellStyle name="Accent2 38" xfId="143"/>
    <cellStyle name="Accent2 39" xfId="144"/>
    <cellStyle name="Accent2 4" xfId="145"/>
    <cellStyle name="Accent2 40" xfId="146"/>
    <cellStyle name="Accent2 41" xfId="147"/>
    <cellStyle name="Accent2 42" xfId="148"/>
    <cellStyle name="Accent2 43" xfId="149"/>
    <cellStyle name="Accent2 44" xfId="150"/>
    <cellStyle name="Accent2 45" xfId="151"/>
    <cellStyle name="Accent2 46" xfId="152"/>
    <cellStyle name="Accent2 47" xfId="153"/>
    <cellStyle name="Accent2 48" xfId="154"/>
    <cellStyle name="Accent2 49" xfId="155"/>
    <cellStyle name="Accent2 5" xfId="156"/>
    <cellStyle name="Accent2 50" xfId="157"/>
    <cellStyle name="Accent2 51" xfId="158"/>
    <cellStyle name="Accent2 52" xfId="159"/>
    <cellStyle name="Accent2 53" xfId="160"/>
    <cellStyle name="Accent2 54" xfId="161"/>
    <cellStyle name="Accent2 55" xfId="162"/>
    <cellStyle name="Accent2 56" xfId="163"/>
    <cellStyle name="Accent2 57" xfId="164"/>
    <cellStyle name="Accent2 58" xfId="165"/>
    <cellStyle name="Accent2 59" xfId="166"/>
    <cellStyle name="Accent2 6" xfId="167"/>
    <cellStyle name="Accent2 60" xfId="168"/>
    <cellStyle name="Accent2 61" xfId="169"/>
    <cellStyle name="Accent2 62" xfId="170"/>
    <cellStyle name="Accent2 63" xfId="171"/>
    <cellStyle name="Accent2 64" xfId="172"/>
    <cellStyle name="Accent2 65" xfId="173"/>
    <cellStyle name="Accent2 66" xfId="174"/>
    <cellStyle name="Accent2 67" xfId="175"/>
    <cellStyle name="Accent2 68" xfId="176"/>
    <cellStyle name="Accent2 69" xfId="177"/>
    <cellStyle name="Accent2 7" xfId="178"/>
    <cellStyle name="Accent2 70" xfId="179"/>
    <cellStyle name="Accent2 71" xfId="180"/>
    <cellStyle name="Accent2 72" xfId="181"/>
    <cellStyle name="Accent2 73" xfId="182"/>
    <cellStyle name="Accent2 74" xfId="183"/>
    <cellStyle name="Accent2 75" xfId="184"/>
    <cellStyle name="Accent2 76" xfId="185"/>
    <cellStyle name="Accent2 77" xfId="186"/>
    <cellStyle name="Accent2 78" xfId="187"/>
    <cellStyle name="Accent2 79" xfId="188"/>
    <cellStyle name="Accent2 8" xfId="189"/>
    <cellStyle name="Accent2 80" xfId="190"/>
    <cellStyle name="Accent2 81" xfId="191"/>
    <cellStyle name="Accent2 82" xfId="192"/>
    <cellStyle name="Accent2 83" xfId="193"/>
    <cellStyle name="Accent2 84" xfId="194"/>
    <cellStyle name="Accent2 85" xfId="195"/>
    <cellStyle name="Accent2 86" xfId="196"/>
    <cellStyle name="Accent2 87" xfId="197"/>
    <cellStyle name="Accent2 88" xfId="198"/>
    <cellStyle name="Accent2 89" xfId="199"/>
    <cellStyle name="Accent2 9" xfId="200"/>
    <cellStyle name="Accent2 90" xfId="201"/>
    <cellStyle name="Accent2 91" xfId="202"/>
    <cellStyle name="Accent2 92" xfId="203"/>
    <cellStyle name="Accent2 93" xfId="204"/>
    <cellStyle name="Accent2 94" xfId="205"/>
    <cellStyle name="Accent2 95" xfId="206"/>
    <cellStyle name="Accent2 96" xfId="207"/>
    <cellStyle name="Accent2 97" xfId="208"/>
    <cellStyle name="Accent2 98" xfId="209"/>
    <cellStyle name="Accent2 99" xfId="210"/>
    <cellStyle name="Accent3 - 20%" xfId="211"/>
    <cellStyle name="Accent3 - 40%" xfId="212"/>
    <cellStyle name="Accent3 - 60%" xfId="213"/>
    <cellStyle name="Accent3 10" xfId="214"/>
    <cellStyle name="Accent3 100" xfId="215"/>
    <cellStyle name="Accent3 101" xfId="216"/>
    <cellStyle name="Accent3 11" xfId="217"/>
    <cellStyle name="Accent3 12" xfId="218"/>
    <cellStyle name="Accent3 13" xfId="219"/>
    <cellStyle name="Accent3 14" xfId="220"/>
    <cellStyle name="Accent3 15" xfId="221"/>
    <cellStyle name="Accent3 16" xfId="222"/>
    <cellStyle name="Accent3 17" xfId="223"/>
    <cellStyle name="Accent3 18" xfId="224"/>
    <cellStyle name="Accent3 19" xfId="225"/>
    <cellStyle name="Accent3 2" xfId="226"/>
    <cellStyle name="Accent3 20" xfId="227"/>
    <cellStyle name="Accent3 21" xfId="228"/>
    <cellStyle name="Accent3 22" xfId="229"/>
    <cellStyle name="Accent3 23" xfId="230"/>
    <cellStyle name="Accent3 24" xfId="231"/>
    <cellStyle name="Accent3 25" xfId="232"/>
    <cellStyle name="Accent3 26" xfId="233"/>
    <cellStyle name="Accent3 27" xfId="234"/>
    <cellStyle name="Accent3 28" xfId="235"/>
    <cellStyle name="Accent3 29" xfId="236"/>
    <cellStyle name="Accent3 3" xfId="237"/>
    <cellStyle name="Accent3 30" xfId="238"/>
    <cellStyle name="Accent3 31" xfId="239"/>
    <cellStyle name="Accent3 32" xfId="240"/>
    <cellStyle name="Accent3 33" xfId="241"/>
    <cellStyle name="Accent3 34" xfId="242"/>
    <cellStyle name="Accent3 35" xfId="243"/>
    <cellStyle name="Accent3 36" xfId="244"/>
    <cellStyle name="Accent3 37" xfId="245"/>
    <cellStyle name="Accent3 38" xfId="246"/>
    <cellStyle name="Accent3 39" xfId="247"/>
    <cellStyle name="Accent3 4" xfId="248"/>
    <cellStyle name="Accent3 40" xfId="249"/>
    <cellStyle name="Accent3 41" xfId="250"/>
    <cellStyle name="Accent3 42" xfId="251"/>
    <cellStyle name="Accent3 43" xfId="252"/>
    <cellStyle name="Accent3 44" xfId="253"/>
    <cellStyle name="Accent3 45" xfId="254"/>
    <cellStyle name="Accent3 46" xfId="255"/>
    <cellStyle name="Accent3 47" xfId="256"/>
    <cellStyle name="Accent3 48" xfId="257"/>
    <cellStyle name="Accent3 49" xfId="258"/>
    <cellStyle name="Accent3 5" xfId="259"/>
    <cellStyle name="Accent3 50" xfId="260"/>
    <cellStyle name="Accent3 51" xfId="261"/>
    <cellStyle name="Accent3 52" xfId="262"/>
    <cellStyle name="Accent3 53" xfId="263"/>
    <cellStyle name="Accent3 54" xfId="264"/>
    <cellStyle name="Accent3 55" xfId="265"/>
    <cellStyle name="Accent3 56" xfId="266"/>
    <cellStyle name="Accent3 57" xfId="267"/>
    <cellStyle name="Accent3 58" xfId="268"/>
    <cellStyle name="Accent3 59" xfId="269"/>
    <cellStyle name="Accent3 6" xfId="270"/>
    <cellStyle name="Accent3 60" xfId="271"/>
    <cellStyle name="Accent3 61" xfId="272"/>
    <cellStyle name="Accent3 62" xfId="273"/>
    <cellStyle name="Accent3 63" xfId="274"/>
    <cellStyle name="Accent3 64" xfId="275"/>
    <cellStyle name="Accent3 65" xfId="276"/>
    <cellStyle name="Accent3 66" xfId="277"/>
    <cellStyle name="Accent3 67" xfId="278"/>
    <cellStyle name="Accent3 68" xfId="279"/>
    <cellStyle name="Accent3 69" xfId="280"/>
    <cellStyle name="Accent3 7" xfId="281"/>
    <cellStyle name="Accent3 70" xfId="282"/>
    <cellStyle name="Accent3 71" xfId="283"/>
    <cellStyle name="Accent3 72" xfId="284"/>
    <cellStyle name="Accent3 73" xfId="285"/>
    <cellStyle name="Accent3 74" xfId="286"/>
    <cellStyle name="Accent3 75" xfId="287"/>
    <cellStyle name="Accent3 76" xfId="288"/>
    <cellStyle name="Accent3 77" xfId="289"/>
    <cellStyle name="Accent3 78" xfId="290"/>
    <cellStyle name="Accent3 79" xfId="291"/>
    <cellStyle name="Accent3 8" xfId="292"/>
    <cellStyle name="Accent3 80" xfId="293"/>
    <cellStyle name="Accent3 81" xfId="294"/>
    <cellStyle name="Accent3 82" xfId="295"/>
    <cellStyle name="Accent3 83" xfId="296"/>
    <cellStyle name="Accent3 84" xfId="297"/>
    <cellStyle name="Accent3 85" xfId="298"/>
    <cellStyle name="Accent3 86" xfId="299"/>
    <cellStyle name="Accent3 87" xfId="300"/>
    <cellStyle name="Accent3 88" xfId="301"/>
    <cellStyle name="Accent3 89" xfId="302"/>
    <cellStyle name="Accent3 9" xfId="303"/>
    <cellStyle name="Accent3 90" xfId="304"/>
    <cellStyle name="Accent3 91" xfId="305"/>
    <cellStyle name="Accent3 92" xfId="306"/>
    <cellStyle name="Accent3 93" xfId="307"/>
    <cellStyle name="Accent3 94" xfId="308"/>
    <cellStyle name="Accent3 95" xfId="309"/>
    <cellStyle name="Accent3 96" xfId="310"/>
    <cellStyle name="Accent3 97" xfId="311"/>
    <cellStyle name="Accent3 98" xfId="312"/>
    <cellStyle name="Accent3 99" xfId="313"/>
    <cellStyle name="Accent4 - 20%" xfId="314"/>
    <cellStyle name="Accent4 - 40%" xfId="315"/>
    <cellStyle name="Accent4 - 60%" xfId="316"/>
    <cellStyle name="Accent4 10" xfId="317"/>
    <cellStyle name="Accent4 100" xfId="318"/>
    <cellStyle name="Accent4 101" xfId="319"/>
    <cellStyle name="Accent4 11" xfId="320"/>
    <cellStyle name="Accent4 12" xfId="321"/>
    <cellStyle name="Accent4 13" xfId="322"/>
    <cellStyle name="Accent4 14" xfId="323"/>
    <cellStyle name="Accent4 15" xfId="324"/>
    <cellStyle name="Accent4 16" xfId="325"/>
    <cellStyle name="Accent4 17" xfId="326"/>
    <cellStyle name="Accent4 18" xfId="327"/>
    <cellStyle name="Accent4 19" xfId="328"/>
    <cellStyle name="Accent4 2" xfId="329"/>
    <cellStyle name="Accent4 20" xfId="330"/>
    <cellStyle name="Accent4 21" xfId="331"/>
    <cellStyle name="Accent4 22" xfId="332"/>
    <cellStyle name="Accent4 23" xfId="333"/>
    <cellStyle name="Accent4 24" xfId="334"/>
    <cellStyle name="Accent4 25" xfId="335"/>
    <cellStyle name="Accent4 26" xfId="336"/>
    <cellStyle name="Accent4 27" xfId="337"/>
    <cellStyle name="Accent4 28" xfId="338"/>
    <cellStyle name="Accent4 29" xfId="339"/>
    <cellStyle name="Accent4 3" xfId="340"/>
    <cellStyle name="Accent4 30" xfId="341"/>
    <cellStyle name="Accent4 31" xfId="342"/>
    <cellStyle name="Accent4 32" xfId="343"/>
    <cellStyle name="Accent4 33" xfId="344"/>
    <cellStyle name="Accent4 34" xfId="345"/>
    <cellStyle name="Accent4 35" xfId="346"/>
    <cellStyle name="Accent4 36" xfId="347"/>
    <cellStyle name="Accent4 37" xfId="348"/>
    <cellStyle name="Accent4 38" xfId="349"/>
    <cellStyle name="Accent4 39" xfId="350"/>
    <cellStyle name="Accent4 4" xfId="351"/>
    <cellStyle name="Accent4 40" xfId="352"/>
    <cellStyle name="Accent4 41" xfId="353"/>
    <cellStyle name="Accent4 42" xfId="354"/>
    <cellStyle name="Accent4 43" xfId="355"/>
    <cellStyle name="Accent4 44" xfId="356"/>
    <cellStyle name="Accent4 45" xfId="357"/>
    <cellStyle name="Accent4 46" xfId="358"/>
    <cellStyle name="Accent4 47" xfId="359"/>
    <cellStyle name="Accent4 48" xfId="360"/>
    <cellStyle name="Accent4 49" xfId="361"/>
    <cellStyle name="Accent4 5" xfId="362"/>
    <cellStyle name="Accent4 50" xfId="363"/>
    <cellStyle name="Accent4 51" xfId="364"/>
    <cellStyle name="Accent4 52" xfId="365"/>
    <cellStyle name="Accent4 53" xfId="366"/>
    <cellStyle name="Accent4 54" xfId="367"/>
    <cellStyle name="Accent4 55" xfId="368"/>
    <cellStyle name="Accent4 56" xfId="369"/>
    <cellStyle name="Accent4 57" xfId="370"/>
    <cellStyle name="Accent4 58" xfId="371"/>
    <cellStyle name="Accent4 59" xfId="372"/>
    <cellStyle name="Accent4 6" xfId="373"/>
    <cellStyle name="Accent4 60" xfId="374"/>
    <cellStyle name="Accent4 61" xfId="375"/>
    <cellStyle name="Accent4 62" xfId="376"/>
    <cellStyle name="Accent4 63" xfId="377"/>
    <cellStyle name="Accent4 64" xfId="378"/>
    <cellStyle name="Accent4 65" xfId="379"/>
    <cellStyle name="Accent4 66" xfId="380"/>
    <cellStyle name="Accent4 67" xfId="381"/>
    <cellStyle name="Accent4 68" xfId="382"/>
    <cellStyle name="Accent4 69" xfId="383"/>
    <cellStyle name="Accent4 7" xfId="384"/>
    <cellStyle name="Accent4 70" xfId="385"/>
    <cellStyle name="Accent4 71" xfId="386"/>
    <cellStyle name="Accent4 72" xfId="387"/>
    <cellStyle name="Accent4 73" xfId="388"/>
    <cellStyle name="Accent4 74" xfId="389"/>
    <cellStyle name="Accent4 75" xfId="390"/>
    <cellStyle name="Accent4 76" xfId="391"/>
    <cellStyle name="Accent4 77" xfId="392"/>
    <cellStyle name="Accent4 78" xfId="393"/>
    <cellStyle name="Accent4 79" xfId="394"/>
    <cellStyle name="Accent4 8" xfId="395"/>
    <cellStyle name="Accent4 80" xfId="396"/>
    <cellStyle name="Accent4 81" xfId="397"/>
    <cellStyle name="Accent4 82" xfId="398"/>
    <cellStyle name="Accent4 83" xfId="399"/>
    <cellStyle name="Accent4 84" xfId="400"/>
    <cellStyle name="Accent4 85" xfId="401"/>
    <cellStyle name="Accent4 86" xfId="402"/>
    <cellStyle name="Accent4 87" xfId="403"/>
    <cellStyle name="Accent4 88" xfId="404"/>
    <cellStyle name="Accent4 89" xfId="405"/>
    <cellStyle name="Accent4 9" xfId="406"/>
    <cellStyle name="Accent4 90" xfId="407"/>
    <cellStyle name="Accent4 91" xfId="408"/>
    <cellStyle name="Accent4 92" xfId="409"/>
    <cellStyle name="Accent4 93" xfId="410"/>
    <cellStyle name="Accent4 94" xfId="411"/>
    <cellStyle name="Accent4 95" xfId="412"/>
    <cellStyle name="Accent4 96" xfId="413"/>
    <cellStyle name="Accent4 97" xfId="414"/>
    <cellStyle name="Accent4 98" xfId="415"/>
    <cellStyle name="Accent4 99" xfId="416"/>
    <cellStyle name="Accent5 - 20%" xfId="417"/>
    <cellStyle name="Accent5 - 40%" xfId="418"/>
    <cellStyle name="Accent5 - 60%" xfId="419"/>
    <cellStyle name="Accent5 10" xfId="420"/>
    <cellStyle name="Accent5 100" xfId="421"/>
    <cellStyle name="Accent5 101" xfId="422"/>
    <cellStyle name="Accent5 11" xfId="423"/>
    <cellStyle name="Accent5 12" xfId="424"/>
    <cellStyle name="Accent5 13" xfId="425"/>
    <cellStyle name="Accent5 14" xfId="426"/>
    <cellStyle name="Accent5 15" xfId="427"/>
    <cellStyle name="Accent5 16" xfId="428"/>
    <cellStyle name="Accent5 17" xfId="429"/>
    <cellStyle name="Accent5 18" xfId="430"/>
    <cellStyle name="Accent5 19" xfId="431"/>
    <cellStyle name="Accent5 2" xfId="432"/>
    <cellStyle name="Accent5 20" xfId="433"/>
    <cellStyle name="Accent5 21" xfId="434"/>
    <cellStyle name="Accent5 22" xfId="435"/>
    <cellStyle name="Accent5 23" xfId="436"/>
    <cellStyle name="Accent5 24" xfId="437"/>
    <cellStyle name="Accent5 25" xfId="438"/>
    <cellStyle name="Accent5 26" xfId="439"/>
    <cellStyle name="Accent5 27" xfId="440"/>
    <cellStyle name="Accent5 28" xfId="441"/>
    <cellStyle name="Accent5 29" xfId="442"/>
    <cellStyle name="Accent5 3" xfId="443"/>
    <cellStyle name="Accent5 30" xfId="444"/>
    <cellStyle name="Accent5 31" xfId="445"/>
    <cellStyle name="Accent5 32" xfId="446"/>
    <cellStyle name="Accent5 33" xfId="447"/>
    <cellStyle name="Accent5 34" xfId="448"/>
    <cellStyle name="Accent5 35" xfId="449"/>
    <cellStyle name="Accent5 36" xfId="450"/>
    <cellStyle name="Accent5 37" xfId="451"/>
    <cellStyle name="Accent5 38" xfId="452"/>
    <cellStyle name="Accent5 39" xfId="453"/>
    <cellStyle name="Accent5 4" xfId="454"/>
    <cellStyle name="Accent5 40" xfId="455"/>
    <cellStyle name="Accent5 41" xfId="456"/>
    <cellStyle name="Accent5 42" xfId="457"/>
    <cellStyle name="Accent5 43" xfId="458"/>
    <cellStyle name="Accent5 44" xfId="459"/>
    <cellStyle name="Accent5 45" xfId="460"/>
    <cellStyle name="Accent5 46" xfId="461"/>
    <cellStyle name="Accent5 47" xfId="462"/>
    <cellStyle name="Accent5 48" xfId="463"/>
    <cellStyle name="Accent5 49" xfId="464"/>
    <cellStyle name="Accent5 5" xfId="465"/>
    <cellStyle name="Accent5 50" xfId="466"/>
    <cellStyle name="Accent5 51" xfId="467"/>
    <cellStyle name="Accent5 52" xfId="468"/>
    <cellStyle name="Accent5 53" xfId="469"/>
    <cellStyle name="Accent5 54" xfId="470"/>
    <cellStyle name="Accent5 55" xfId="471"/>
    <cellStyle name="Accent5 56" xfId="472"/>
    <cellStyle name="Accent5 57" xfId="473"/>
    <cellStyle name="Accent5 58" xfId="474"/>
    <cellStyle name="Accent5 59" xfId="475"/>
    <cellStyle name="Accent5 6" xfId="476"/>
    <cellStyle name="Accent5 60" xfId="477"/>
    <cellStyle name="Accent5 61" xfId="478"/>
    <cellStyle name="Accent5 62" xfId="479"/>
    <cellStyle name="Accent5 63" xfId="480"/>
    <cellStyle name="Accent5 64" xfId="481"/>
    <cellStyle name="Accent5 65" xfId="482"/>
    <cellStyle name="Accent5 66" xfId="483"/>
    <cellStyle name="Accent5 67" xfId="484"/>
    <cellStyle name="Accent5 68" xfId="485"/>
    <cellStyle name="Accent5 69" xfId="486"/>
    <cellStyle name="Accent5 7" xfId="487"/>
    <cellStyle name="Accent5 70" xfId="488"/>
    <cellStyle name="Accent5 71" xfId="489"/>
    <cellStyle name="Accent5 72" xfId="490"/>
    <cellStyle name="Accent5 73" xfId="491"/>
    <cellStyle name="Accent5 74" xfId="492"/>
    <cellStyle name="Accent5 75" xfId="493"/>
    <cellStyle name="Accent5 76" xfId="494"/>
    <cellStyle name="Accent5 77" xfId="495"/>
    <cellStyle name="Accent5 78" xfId="496"/>
    <cellStyle name="Accent5 79" xfId="497"/>
    <cellStyle name="Accent5 8" xfId="498"/>
    <cellStyle name="Accent5 80" xfId="499"/>
    <cellStyle name="Accent5 81" xfId="500"/>
    <cellStyle name="Accent5 82" xfId="501"/>
    <cellStyle name="Accent5 83" xfId="502"/>
    <cellStyle name="Accent5 84" xfId="503"/>
    <cellStyle name="Accent5 85" xfId="504"/>
    <cellStyle name="Accent5 86" xfId="505"/>
    <cellStyle name="Accent5 87" xfId="506"/>
    <cellStyle name="Accent5 88" xfId="507"/>
    <cellStyle name="Accent5 89" xfId="508"/>
    <cellStyle name="Accent5 9" xfId="509"/>
    <cellStyle name="Accent5 90" xfId="510"/>
    <cellStyle name="Accent5 91" xfId="511"/>
    <cellStyle name="Accent5 92" xfId="512"/>
    <cellStyle name="Accent5 93" xfId="513"/>
    <cellStyle name="Accent5 94" xfId="514"/>
    <cellStyle name="Accent5 95" xfId="515"/>
    <cellStyle name="Accent5 96" xfId="516"/>
    <cellStyle name="Accent5 97" xfId="517"/>
    <cellStyle name="Accent5 98" xfId="518"/>
    <cellStyle name="Accent5 99" xfId="519"/>
    <cellStyle name="Accent6 - 20%" xfId="520"/>
    <cellStyle name="Accent6 - 40%" xfId="521"/>
    <cellStyle name="Accent6 - 60%" xfId="522"/>
    <cellStyle name="Accent6 10" xfId="523"/>
    <cellStyle name="Accent6 100" xfId="524"/>
    <cellStyle name="Accent6 101" xfId="525"/>
    <cellStyle name="Accent6 11" xfId="526"/>
    <cellStyle name="Accent6 12" xfId="527"/>
    <cellStyle name="Accent6 13" xfId="528"/>
    <cellStyle name="Accent6 14" xfId="529"/>
    <cellStyle name="Accent6 15" xfId="530"/>
    <cellStyle name="Accent6 16" xfId="531"/>
    <cellStyle name="Accent6 17" xfId="532"/>
    <cellStyle name="Accent6 18" xfId="533"/>
    <cellStyle name="Accent6 19" xfId="534"/>
    <cellStyle name="Accent6 2" xfId="535"/>
    <cellStyle name="Accent6 20" xfId="536"/>
    <cellStyle name="Accent6 21" xfId="537"/>
    <cellStyle name="Accent6 22" xfId="538"/>
    <cellStyle name="Accent6 23" xfId="539"/>
    <cellStyle name="Accent6 24" xfId="540"/>
    <cellStyle name="Accent6 25" xfId="541"/>
    <cellStyle name="Accent6 26" xfId="542"/>
    <cellStyle name="Accent6 27" xfId="543"/>
    <cellStyle name="Accent6 28" xfId="544"/>
    <cellStyle name="Accent6 29" xfId="545"/>
    <cellStyle name="Accent6 3" xfId="546"/>
    <cellStyle name="Accent6 30" xfId="547"/>
    <cellStyle name="Accent6 31" xfId="548"/>
    <cellStyle name="Accent6 32" xfId="549"/>
    <cellStyle name="Accent6 33" xfId="550"/>
    <cellStyle name="Accent6 34" xfId="551"/>
    <cellStyle name="Accent6 35" xfId="552"/>
    <cellStyle name="Accent6 36" xfId="553"/>
    <cellStyle name="Accent6 37" xfId="554"/>
    <cellStyle name="Accent6 38" xfId="555"/>
    <cellStyle name="Accent6 39" xfId="556"/>
    <cellStyle name="Accent6 4" xfId="557"/>
    <cellStyle name="Accent6 40" xfId="558"/>
    <cellStyle name="Accent6 41" xfId="559"/>
    <cellStyle name="Accent6 42" xfId="560"/>
    <cellStyle name="Accent6 43" xfId="561"/>
    <cellStyle name="Accent6 44" xfId="562"/>
    <cellStyle name="Accent6 45" xfId="563"/>
    <cellStyle name="Accent6 46" xfId="564"/>
    <cellStyle name="Accent6 47" xfId="565"/>
    <cellStyle name="Accent6 48" xfId="566"/>
    <cellStyle name="Accent6 49" xfId="567"/>
    <cellStyle name="Accent6 5" xfId="568"/>
    <cellStyle name="Accent6 50" xfId="569"/>
    <cellStyle name="Accent6 51" xfId="570"/>
    <cellStyle name="Accent6 52" xfId="571"/>
    <cellStyle name="Accent6 53" xfId="572"/>
    <cellStyle name="Accent6 54" xfId="573"/>
    <cellStyle name="Accent6 55" xfId="574"/>
    <cellStyle name="Accent6 56" xfId="575"/>
    <cellStyle name="Accent6 57" xfId="576"/>
    <cellStyle name="Accent6 58" xfId="577"/>
    <cellStyle name="Accent6 59" xfId="578"/>
    <cellStyle name="Accent6 6" xfId="579"/>
    <cellStyle name="Accent6 60" xfId="580"/>
    <cellStyle name="Accent6 61" xfId="581"/>
    <cellStyle name="Accent6 62" xfId="582"/>
    <cellStyle name="Accent6 63" xfId="583"/>
    <cellStyle name="Accent6 64" xfId="584"/>
    <cellStyle name="Accent6 65" xfId="585"/>
    <cellStyle name="Accent6 66" xfId="586"/>
    <cellStyle name="Accent6 67" xfId="587"/>
    <cellStyle name="Accent6 68" xfId="588"/>
    <cellStyle name="Accent6 69" xfId="589"/>
    <cellStyle name="Accent6 7" xfId="590"/>
    <cellStyle name="Accent6 70" xfId="591"/>
    <cellStyle name="Accent6 71" xfId="592"/>
    <cellStyle name="Accent6 72" xfId="593"/>
    <cellStyle name="Accent6 73" xfId="594"/>
    <cellStyle name="Accent6 74" xfId="595"/>
    <cellStyle name="Accent6 75" xfId="596"/>
    <cellStyle name="Accent6 76" xfId="597"/>
    <cellStyle name="Accent6 77" xfId="598"/>
    <cellStyle name="Accent6 78" xfId="599"/>
    <cellStyle name="Accent6 79" xfId="600"/>
    <cellStyle name="Accent6 8" xfId="601"/>
    <cellStyle name="Accent6 80" xfId="602"/>
    <cellStyle name="Accent6 81" xfId="603"/>
    <cellStyle name="Accent6 82" xfId="604"/>
    <cellStyle name="Accent6 83" xfId="605"/>
    <cellStyle name="Accent6 84" xfId="606"/>
    <cellStyle name="Accent6 85" xfId="607"/>
    <cellStyle name="Accent6 86" xfId="608"/>
    <cellStyle name="Accent6 87" xfId="609"/>
    <cellStyle name="Accent6 88" xfId="610"/>
    <cellStyle name="Accent6 89" xfId="611"/>
    <cellStyle name="Accent6 9" xfId="612"/>
    <cellStyle name="Accent6 90" xfId="613"/>
    <cellStyle name="Accent6 91" xfId="614"/>
    <cellStyle name="Accent6 92" xfId="615"/>
    <cellStyle name="Accent6 93" xfId="616"/>
    <cellStyle name="Accent6 94" xfId="617"/>
    <cellStyle name="Accent6 95" xfId="618"/>
    <cellStyle name="Accent6 96" xfId="619"/>
    <cellStyle name="Accent6 97" xfId="620"/>
    <cellStyle name="Accent6 98" xfId="621"/>
    <cellStyle name="Accent6 99" xfId="622"/>
    <cellStyle name="Bad 2" xfId="623"/>
    <cellStyle name="Calculation 2" xfId="624"/>
    <cellStyle name="Check Cell 2" xfId="625"/>
    <cellStyle name="Comma" xfId="3" builtinId="3"/>
    <cellStyle name="Comma 2" xfId="4"/>
    <cellStyle name="Currency" xfId="1" builtinId="4"/>
    <cellStyle name="Emphasis 1" xfId="626"/>
    <cellStyle name="Emphasis 2" xfId="627"/>
    <cellStyle name="Emphasis 3" xfId="628"/>
    <cellStyle name="Good 2" xfId="629"/>
    <cellStyle name="Good 2 2" xfId="630"/>
    <cellStyle name="Heading 1 2" xfId="631"/>
    <cellStyle name="Heading 2 2" xfId="632"/>
    <cellStyle name="Heading 3 2" xfId="633"/>
    <cellStyle name="Heading 4 2" xfId="634"/>
    <cellStyle name="Input 2" xfId="635"/>
    <cellStyle name="Linked Cell 2" xfId="636"/>
    <cellStyle name="Neutral 2" xfId="637"/>
    <cellStyle name="Normal" xfId="0" builtinId="0"/>
    <cellStyle name="Normal 2" xfId="638"/>
    <cellStyle name="Normal 2 2" xfId="639"/>
    <cellStyle name="Normal 2 2 2" xfId="640"/>
    <cellStyle name="Normal 2 2_O&amp;M" xfId="641"/>
    <cellStyle name="Normal 2 3" xfId="642"/>
    <cellStyle name="Normal 3" xfId="643"/>
    <cellStyle name="Normal 3 2" xfId="644"/>
    <cellStyle name="Normal 3 2 2" xfId="645"/>
    <cellStyle name="Normal 3 2_O&amp;M" xfId="646"/>
    <cellStyle name="Normal 3 3" xfId="647"/>
    <cellStyle name="Normal 3 4" xfId="648"/>
    <cellStyle name="Normal 4" xfId="649"/>
    <cellStyle name="Normal 4 2" xfId="650"/>
    <cellStyle name="Normal 4 2 2" xfId="651"/>
    <cellStyle name="Normal 4 3" xfId="652"/>
    <cellStyle name="Normal 5" xfId="653"/>
    <cellStyle name="Normal 5 2" xfId="654"/>
    <cellStyle name="Note 2" xfId="655"/>
    <cellStyle name="Note 2 2" xfId="656"/>
    <cellStyle name="Output 2" xfId="657"/>
    <cellStyle name="Percent" xfId="2" builtinId="5"/>
    <cellStyle name="SAPBEXaggData" xfId="658"/>
    <cellStyle name="SAPBEXaggData 2" xfId="659"/>
    <cellStyle name="SAPBEXaggDataEmph" xfId="660"/>
    <cellStyle name="SAPBEXaggItem" xfId="661"/>
    <cellStyle name="SAPBEXaggItem 2" xfId="662"/>
    <cellStyle name="SAPBEXaggItemX" xfId="663"/>
    <cellStyle name="SAPBEXchaText" xfId="664"/>
    <cellStyle name="SAPBEXchaText 2" xfId="665"/>
    <cellStyle name="SAPBEXexcBad7" xfId="666"/>
    <cellStyle name="SAPBEXexcBad7 2" xfId="667"/>
    <cellStyle name="SAPBEXexcBad8" xfId="668"/>
    <cellStyle name="SAPBEXexcBad8 2" xfId="669"/>
    <cellStyle name="SAPBEXexcBad9" xfId="670"/>
    <cellStyle name="SAPBEXexcBad9 2" xfId="671"/>
    <cellStyle name="SAPBEXexcCritical4" xfId="672"/>
    <cellStyle name="SAPBEXexcCritical4 2" xfId="673"/>
    <cellStyle name="SAPBEXexcCritical5" xfId="674"/>
    <cellStyle name="SAPBEXexcCritical5 2" xfId="675"/>
    <cellStyle name="SAPBEXexcCritical6" xfId="676"/>
    <cellStyle name="SAPBEXexcCritical6 2" xfId="677"/>
    <cellStyle name="SAPBEXexcGood1" xfId="678"/>
    <cellStyle name="SAPBEXexcGood1 2" xfId="679"/>
    <cellStyle name="SAPBEXexcGood2" xfId="680"/>
    <cellStyle name="SAPBEXexcGood2 2" xfId="681"/>
    <cellStyle name="SAPBEXexcGood3" xfId="682"/>
    <cellStyle name="SAPBEXexcGood3 2" xfId="683"/>
    <cellStyle name="SAPBEXfilterDrill" xfId="684"/>
    <cellStyle name="SAPBEXfilterDrill 2" xfId="685"/>
    <cellStyle name="SAPBEXfilterItem" xfId="686"/>
    <cellStyle name="SAPBEXfilterText" xfId="687"/>
    <cellStyle name="SAPBEXformats" xfId="688"/>
    <cellStyle name="SAPBEXformats 2" xfId="689"/>
    <cellStyle name="SAPBEXheaderItem" xfId="690"/>
    <cellStyle name="SAPBEXheaderItem 2" xfId="691"/>
    <cellStyle name="SAPBEXheaderText" xfId="692"/>
    <cellStyle name="SAPBEXheaderText 2" xfId="693"/>
    <cellStyle name="SAPBEXHLevel0" xfId="694"/>
    <cellStyle name="SAPBEXHLevel0 2" xfId="695"/>
    <cellStyle name="SAPBEXHLevel0X" xfId="696"/>
    <cellStyle name="SAPBEXHLevel1" xfId="697"/>
    <cellStyle name="SAPBEXHLevel1 2" xfId="698"/>
    <cellStyle name="SAPBEXHLevel1X" xfId="699"/>
    <cellStyle name="SAPBEXHLevel2" xfId="700"/>
    <cellStyle name="SAPBEXHLevel2 2" xfId="701"/>
    <cellStyle name="SAPBEXHLevel2X" xfId="702"/>
    <cellStyle name="SAPBEXHLevel3" xfId="703"/>
    <cellStyle name="SAPBEXHLevel3 2" xfId="704"/>
    <cellStyle name="SAPBEXHLevel3X" xfId="705"/>
    <cellStyle name="SAPBEXinputData" xfId="706"/>
    <cellStyle name="SAPBEXItemHeader" xfId="707"/>
    <cellStyle name="SAPBEXresData" xfId="708"/>
    <cellStyle name="SAPBEXresDataEmph" xfId="709"/>
    <cellStyle name="SAPBEXresItem" xfId="710"/>
    <cellStyle name="SAPBEXresItemX" xfId="711"/>
    <cellStyle name="SAPBEXstdData" xfId="712"/>
    <cellStyle name="SAPBEXstdData 2" xfId="713"/>
    <cellStyle name="SAPBEXstdDataEmph" xfId="714"/>
    <cellStyle name="SAPBEXstdItem" xfId="715"/>
    <cellStyle name="SAPBEXstdItem 2" xfId="716"/>
    <cellStyle name="SAPBEXstdItemX" xfId="717"/>
    <cellStyle name="SAPBEXtitle" xfId="718"/>
    <cellStyle name="SAPBEXunassignedItem" xfId="719"/>
    <cellStyle name="SAPBEXunassignedItem 2" xfId="720"/>
    <cellStyle name="SAPBEXundefined" xfId="721"/>
    <cellStyle name="Sheet Title" xfId="722"/>
    <cellStyle name="Style 1" xfId="723"/>
    <cellStyle name="Total 2" xfId="724"/>
    <cellStyle name="Warning Text 2" xfId="7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Incident</a:t>
            </a:r>
            <a:r>
              <a:rPr lang="en-US" baseline="0"/>
              <a:t> Rate from Incorrect Operations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4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2BB0-48B2-BC30-74385AED17D5}"/>
              </c:ext>
            </c:extLst>
          </c:dPt>
          <c:dPt>
            <c:idx val="3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BB0-48B2-BC30-74385AED17D5}"/>
              </c:ext>
            </c:extLst>
          </c:dPt>
          <c:dPt>
            <c:idx val="3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2BB0-48B2-BC30-74385AED17D5}"/>
              </c:ext>
            </c:extLst>
          </c:dPt>
          <c:cat>
            <c:strRef>
              <c:f>Data!$L$62:$L$115</c:f>
              <c:strCache>
                <c:ptCount val="54"/>
                <c:pt idx="0">
                  <c:v>AK</c:v>
                </c:pt>
                <c:pt idx="1">
                  <c:v>AL</c:v>
                </c:pt>
                <c:pt idx="2">
                  <c:v>AZ</c:v>
                </c:pt>
                <c:pt idx="3">
                  <c:v>CT</c:v>
                </c:pt>
                <c:pt idx="4">
                  <c:v>DE</c:v>
                </c:pt>
                <c:pt idx="5">
                  <c:v>HI</c:v>
                </c:pt>
                <c:pt idx="6">
                  <c:v>IN</c:v>
                </c:pt>
                <c:pt idx="7">
                  <c:v>ME</c:v>
                </c:pt>
                <c:pt idx="8">
                  <c:v>MD</c:v>
                </c:pt>
                <c:pt idx="9">
                  <c:v>MO</c:v>
                </c:pt>
                <c:pt idx="10">
                  <c:v>MT</c:v>
                </c:pt>
                <c:pt idx="11">
                  <c:v>ND</c:v>
                </c:pt>
                <c:pt idx="12">
                  <c:v>NH</c:v>
                </c:pt>
                <c:pt idx="13">
                  <c:v>OR</c:v>
                </c:pt>
                <c:pt idx="14">
                  <c:v>RI</c:v>
                </c:pt>
                <c:pt idx="15">
                  <c:v>SC</c:v>
                </c:pt>
                <c:pt idx="16">
                  <c:v>SD</c:v>
                </c:pt>
                <c:pt idx="17">
                  <c:v>UT</c:v>
                </c:pt>
                <c:pt idx="18">
                  <c:v>VA</c:v>
                </c:pt>
                <c:pt idx="19">
                  <c:v>VT</c:v>
                </c:pt>
                <c:pt idx="20">
                  <c:v>WI</c:v>
                </c:pt>
                <c:pt idx="21">
                  <c:v>WV</c:v>
                </c:pt>
                <c:pt idx="22">
                  <c:v>WY</c:v>
                </c:pt>
                <c:pt idx="23">
                  <c:v>SDGE</c:v>
                </c:pt>
                <c:pt idx="24">
                  <c:v>SCE</c:v>
                </c:pt>
                <c:pt idx="25">
                  <c:v>FL</c:v>
                </c:pt>
                <c:pt idx="26">
                  <c:v>NJ</c:v>
                </c:pt>
                <c:pt idx="27">
                  <c:v>WA</c:v>
                </c:pt>
                <c:pt idx="28">
                  <c:v>NY</c:v>
                </c:pt>
                <c:pt idx="29">
                  <c:v>TN</c:v>
                </c:pt>
                <c:pt idx="30">
                  <c:v>CA</c:v>
                </c:pt>
                <c:pt idx="31">
                  <c:v>CO</c:v>
                </c:pt>
                <c:pt idx="32">
                  <c:v>TX</c:v>
                </c:pt>
                <c:pt idx="33">
                  <c:v>NC</c:v>
                </c:pt>
                <c:pt idx="34">
                  <c:v>National</c:v>
                </c:pt>
                <c:pt idx="35">
                  <c:v>KY</c:v>
                </c:pt>
                <c:pt idx="36">
                  <c:v>PA</c:v>
                </c:pt>
                <c:pt idx="37">
                  <c:v>OH</c:v>
                </c:pt>
                <c:pt idx="38">
                  <c:v>OK</c:v>
                </c:pt>
                <c:pt idx="39">
                  <c:v>IL</c:v>
                </c:pt>
                <c:pt idx="40">
                  <c:v>MS</c:v>
                </c:pt>
                <c:pt idx="41">
                  <c:v>MI</c:v>
                </c:pt>
                <c:pt idx="42">
                  <c:v>GA</c:v>
                </c:pt>
                <c:pt idx="43">
                  <c:v>MA</c:v>
                </c:pt>
                <c:pt idx="44">
                  <c:v>MN</c:v>
                </c:pt>
                <c:pt idx="45">
                  <c:v>ID</c:v>
                </c:pt>
                <c:pt idx="46">
                  <c:v>AR</c:v>
                </c:pt>
                <c:pt idx="47">
                  <c:v>NV</c:v>
                </c:pt>
                <c:pt idx="48">
                  <c:v>NM</c:v>
                </c:pt>
                <c:pt idx="49">
                  <c:v>IA</c:v>
                </c:pt>
                <c:pt idx="50">
                  <c:v>KS</c:v>
                </c:pt>
                <c:pt idx="51">
                  <c:v>NE</c:v>
                </c:pt>
                <c:pt idx="52">
                  <c:v>LA</c:v>
                </c:pt>
                <c:pt idx="53">
                  <c:v>DC</c:v>
                </c:pt>
              </c:strCache>
            </c:strRef>
          </c:cat>
          <c:val>
            <c:numRef>
              <c:f>Data!$M$62:$M$115</c:f>
              <c:numCache>
                <c:formatCode>0.0000</c:formatCode>
                <c:ptCount val="5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1.4722119985277881E-2</c:v>
                </c:pt>
                <c:pt idx="25">
                  <c:v>1.6365471751293274E-2</c:v>
                </c:pt>
                <c:pt idx="26">
                  <c:v>1.7498636112554797E-2</c:v>
                </c:pt>
                <c:pt idx="27">
                  <c:v>2.287831641214921E-2</c:v>
                </c:pt>
                <c:pt idx="28">
                  <c:v>2.3817526687518804E-2</c:v>
                </c:pt>
                <c:pt idx="29">
                  <c:v>2.4242610837065231E-2</c:v>
                </c:pt>
                <c:pt idx="30">
                  <c:v>2.4777957086676194E-2</c:v>
                </c:pt>
                <c:pt idx="31">
                  <c:v>3.0590606102079507E-2</c:v>
                </c:pt>
                <c:pt idx="32">
                  <c:v>3.0591115832761466E-2</c:v>
                </c:pt>
                <c:pt idx="33">
                  <c:v>3.2268140763536332E-2</c:v>
                </c:pt>
                <c:pt idx="34">
                  <c:v>3.4880603745699373E-2</c:v>
                </c:pt>
                <c:pt idx="35">
                  <c:v>3.5453593541674128E-2</c:v>
                </c:pt>
                <c:pt idx="36">
                  <c:v>3.6334804806128169E-2</c:v>
                </c:pt>
                <c:pt idx="37">
                  <c:v>4.000678728481883E-2</c:v>
                </c:pt>
                <c:pt idx="38">
                  <c:v>4.1010866177586112E-2</c:v>
                </c:pt>
                <c:pt idx="39">
                  <c:v>4.7962143671848388E-2</c:v>
                </c:pt>
                <c:pt idx="40">
                  <c:v>5.184723802374816E-2</c:v>
                </c:pt>
                <c:pt idx="41">
                  <c:v>6.2262953262625445E-2</c:v>
                </c:pt>
                <c:pt idx="42">
                  <c:v>6.3522569954210309E-2</c:v>
                </c:pt>
                <c:pt idx="43">
                  <c:v>7.0489403345617402E-2</c:v>
                </c:pt>
                <c:pt idx="44">
                  <c:v>8.701828580503336E-2</c:v>
                </c:pt>
                <c:pt idx="45">
                  <c:v>9.8142332487967998E-2</c:v>
                </c:pt>
                <c:pt idx="46">
                  <c:v>0.10552159137956132</c:v>
                </c:pt>
                <c:pt idx="47">
                  <c:v>0.11393686240041669</c:v>
                </c:pt>
                <c:pt idx="48">
                  <c:v>0.14942475020010773</c:v>
                </c:pt>
                <c:pt idx="49">
                  <c:v>0.15150514681921887</c:v>
                </c:pt>
                <c:pt idx="50">
                  <c:v>0.16176634178413282</c:v>
                </c:pt>
                <c:pt idx="51">
                  <c:v>0.16847473045411984</c:v>
                </c:pt>
                <c:pt idx="52">
                  <c:v>0.16968181063252016</c:v>
                </c:pt>
                <c:pt idx="53">
                  <c:v>0.25567604004858357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B0-48B2-BC30-74385AED1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639232"/>
        <c:axId val="75684864"/>
      </c:barChart>
      <c:catAx>
        <c:axId val="54639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84864"/>
        <c:crosses val="autoZero"/>
        <c:auto val="1"/>
        <c:lblAlgn val="ctr"/>
        <c:lblOffset val="100"/>
        <c:noMultiLvlLbl val="0"/>
      </c:catAx>
      <c:valAx>
        <c:axId val="7568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 million</a:t>
                </a:r>
                <a:r>
                  <a:rPr lang="en-US" baseline="0"/>
                  <a:t> people per year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39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Workforce</a:t>
            </a:r>
            <a:r>
              <a:rPr lang="en-US" baseline="0"/>
              <a:t> Seniority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Data!$B$28:$I$28</c:f>
              <c:strCache>
                <c:ptCount val="8"/>
                <c:pt idx="0">
                  <c:v>0-5</c:v>
                </c:pt>
                <c:pt idx="1">
                  <c:v>6-10</c:v>
                </c:pt>
                <c:pt idx="2">
                  <c:v>11-15</c:v>
                </c:pt>
                <c:pt idx="3">
                  <c:v>16-20</c:v>
                </c:pt>
                <c:pt idx="4">
                  <c:v>21-25</c:v>
                </c:pt>
                <c:pt idx="5">
                  <c:v>26-30</c:v>
                </c:pt>
                <c:pt idx="6">
                  <c:v>31-35</c:v>
                </c:pt>
                <c:pt idx="7">
                  <c:v>&gt;35</c:v>
                </c:pt>
              </c:strCache>
            </c:strRef>
          </c:cat>
          <c:val>
            <c:numRef>
              <c:f>Data!$N$55:$U$55</c:f>
              <c:numCache>
                <c:formatCode>0.0%</c:formatCode>
                <c:ptCount val="8"/>
                <c:pt idx="0">
                  <c:v>4.6315789473684213E-2</c:v>
                </c:pt>
                <c:pt idx="1">
                  <c:v>6.1052631578947365E-2</c:v>
                </c:pt>
                <c:pt idx="2">
                  <c:v>0.23578947368421052</c:v>
                </c:pt>
                <c:pt idx="3">
                  <c:v>0.16210526315789472</c:v>
                </c:pt>
                <c:pt idx="4">
                  <c:v>7.1578947368421048E-2</c:v>
                </c:pt>
                <c:pt idx="5">
                  <c:v>6.5263157894736842E-2</c:v>
                </c:pt>
                <c:pt idx="6">
                  <c:v>0.12210526315789473</c:v>
                </c:pt>
                <c:pt idx="7">
                  <c:v>0.23578947368421052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C8-40CC-8B0F-0D364C0A5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316160"/>
        <c:axId val="90824064"/>
      </c:barChart>
      <c:catAx>
        <c:axId val="90316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824064"/>
        <c:crosses val="autoZero"/>
        <c:auto val="1"/>
        <c:lblAlgn val="ctr"/>
        <c:lblOffset val="100"/>
        <c:noMultiLvlLbl val="0"/>
      </c:catAx>
      <c:valAx>
        <c:axId val="90824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316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1809750</xdr:colOff>
      <xdr:row>14</xdr:row>
      <xdr:rowOff>123825</xdr:rowOff>
    </xdr:from>
    <xdr:to>
      <xdr:col>0</xdr:col>
      <xdr:colOff>4124325</xdr:colOff>
      <xdr:row>21</xdr:row>
      <xdr:rowOff>28575</xdr:rowOff>
    </xdr:to>
    <xdr:pic>
      <xdr:nvPicPr>
        <xdr:cNvPr id="2" name="Picture 1" descr="C:\Users\jyork\Documents\RAMP\Presentations\sdge logo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4762500"/>
          <a:ext cx="2314575" cy="1238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609599</xdr:colOff>
      <xdr:row>60</xdr:row>
      <xdr:rowOff>23811</xdr:rowOff>
    </xdr:from>
    <xdr:to>
      <xdr:col>29</xdr:col>
      <xdr:colOff>180974</xdr:colOff>
      <xdr:row>95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9525</xdr:colOff>
      <xdr:row>38</xdr:row>
      <xdr:rowOff>23812</xdr:rowOff>
    </xdr:from>
    <xdr:to>
      <xdr:col>22</xdr:col>
      <xdr:colOff>571500</xdr:colOff>
      <xdr:row>52</xdr:row>
      <xdr:rowOff>100012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0.66888</cdr:x>
      <cdr:y>0.12433</cdr:y>
    </cdr:from>
    <cdr:to>
      <cdr:x>0.87021</cdr:x>
      <cdr:y>0.17359</cdr:y>
    </cdr:to>
    <cdr:sp macro="" textlink="">
      <cdr:nvSpPr>
        <cdr:cNvPr id="2" name="TextBox 2">
          <a:extLst xmlns:a="http://schemas.openxmlformats.org/drawingml/2006/main">
            <a:ext uri="{FF2B5EF4-FFF2-40B4-BE49-F238E27FC236}">
              <a16:creationId xmlns:a16="http://schemas.microsoft.com/office/drawing/2014/main" xmlns="" id="{0FC33DD7-620D-4B47-919E-74D84FBCB8F9}"/>
            </a:ext>
          </a:extLst>
        </cdr:cNvPr>
        <cdr:cNvSpPr txBox="1"/>
      </cdr:nvSpPr>
      <cdr:spPr>
        <a:xfrm xmlns:a="http://schemas.openxmlformats.org/drawingml/2006/main">
          <a:off x="6708775" y="841375"/>
          <a:ext cx="2019300" cy="3333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Transmission and Distribution</a:t>
          </a:r>
        </a:p>
      </cdr:txBody>
    </cdr:sp>
  </cdr:relSizeAnchor>
  <cdr:relSizeAnchor xmlns:cdr="http://schemas.openxmlformats.org/drawingml/2006/chartDrawing">
    <cdr:from>
      <cdr:x>0.70117</cdr:x>
      <cdr:y>0.26226</cdr:y>
    </cdr:from>
    <cdr:to>
      <cdr:x>0.83049</cdr:x>
      <cdr:y>0.31152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xmlns="" id="{9AE29179-D3B4-4ECD-9781-36FFAACE06B0}"/>
            </a:ext>
          </a:extLst>
        </cdr:cNvPr>
        <cdr:cNvSpPr txBox="1"/>
      </cdr:nvSpPr>
      <cdr:spPr>
        <a:xfrm xmlns:a="http://schemas.openxmlformats.org/drawingml/2006/main">
          <a:off x="7032625" y="1774825"/>
          <a:ext cx="1297068" cy="3333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lt1">
              <a:shade val="50000"/>
            </a:schemeClr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100"/>
            <a:t>2010</a:t>
          </a:r>
          <a:r>
            <a:rPr lang="en-US" sz="1100" baseline="0"/>
            <a:t> - June 2016</a:t>
          </a:r>
          <a:endParaRPr lang="en-US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york/Documents/RAMP/Workpaper/RSE/Gas/SDGE-2-WP-RSE%20Catastrophic%20Damage%20Involving%20Third%20Party%20Dig-I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Page"/>
      <sheetName val="Analysis"/>
      <sheetName val="Baseline Mitigation"/>
      <sheetName val="2015Costs"/>
      <sheetName val="Data"/>
      <sheetName val="Referenc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3"/>
  <sheetViews>
    <sheetView tabSelected="1" zoomScaleNormal="100" workbookViewId="0"/>
  </sheetViews>
  <sheetFormatPr defaultRowHeight="15" x14ac:dyDescent="0.25"/>
  <cols>
    <col min="1" max="1" width="90.42578125" style="143" customWidth="1"/>
  </cols>
  <sheetData>
    <row r="1" spans="1:1" ht="34.5" x14ac:dyDescent="0.25">
      <c r="A1" s="137"/>
    </row>
    <row r="2" spans="1:1" ht="34.5" x14ac:dyDescent="0.25">
      <c r="A2" s="137"/>
    </row>
    <row r="3" spans="1:1" ht="34.5" x14ac:dyDescent="0.25">
      <c r="A3" s="138" t="s">
        <v>199</v>
      </c>
    </row>
    <row r="4" spans="1:1" ht="6" customHeight="1" x14ac:dyDescent="0.25">
      <c r="A4" s="138"/>
    </row>
    <row r="5" spans="1:1" ht="34.5" x14ac:dyDescent="0.25">
      <c r="A5" s="139" t="s">
        <v>200</v>
      </c>
    </row>
    <row r="6" spans="1:1" ht="6" customHeight="1" x14ac:dyDescent="0.25">
      <c r="A6" s="138"/>
    </row>
    <row r="7" spans="1:1" ht="34.5" x14ac:dyDescent="0.25">
      <c r="A7" s="138" t="s">
        <v>201</v>
      </c>
    </row>
    <row r="8" spans="1:1" ht="6" customHeight="1" x14ac:dyDescent="0.25">
      <c r="A8" s="138"/>
    </row>
    <row r="9" spans="1:1" ht="34.5" x14ac:dyDescent="0.25">
      <c r="A9" s="140" t="s">
        <v>203</v>
      </c>
    </row>
    <row r="10" spans="1:1" ht="6" customHeight="1" x14ac:dyDescent="0.25">
      <c r="A10" s="138"/>
    </row>
    <row r="11" spans="1:1" ht="34.5" x14ac:dyDescent="0.25">
      <c r="A11" s="138" t="s">
        <v>204</v>
      </c>
    </row>
    <row r="12" spans="1:1" ht="31.5" customHeight="1" x14ac:dyDescent="0.25">
      <c r="A12" s="141"/>
    </row>
    <row r="13" spans="1:1" ht="18.75" x14ac:dyDescent="0.25">
      <c r="A13" s="142" t="s">
        <v>202</v>
      </c>
    </row>
  </sheetData>
  <printOptions horizontalCentered="1" verticalCentered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N23"/>
  <sheetViews>
    <sheetView zoomScale="85" zoomScaleNormal="85" workbookViewId="0"/>
  </sheetViews>
  <sheetFormatPr defaultRowHeight="15" x14ac:dyDescent="0.25"/>
  <cols>
    <col min="1" max="1" width="5.7109375" style="30" customWidth="1"/>
    <col min="2" max="2" width="14.5703125" style="30" customWidth="1"/>
    <col min="3" max="3" width="28.28515625" style="30" customWidth="1"/>
    <col min="4" max="4" width="11.7109375" style="30" customWidth="1"/>
    <col min="5" max="5" width="9.140625" style="30" customWidth="1"/>
    <col min="6" max="6" width="2.28515625" style="30" customWidth="1"/>
    <col min="7" max="7" width="9.5703125" style="30" bestFit="1" customWidth="1"/>
    <col min="8" max="9" width="24.42578125" style="30" customWidth="1"/>
    <col min="10" max="11" width="11.5703125" style="30" bestFit="1" customWidth="1"/>
    <col min="12" max="12" width="11.5703125" style="30" hidden="1" customWidth="1"/>
    <col min="13" max="13" width="12.85546875" style="30" bestFit="1" customWidth="1"/>
    <col min="14" max="14" width="10.28515625" style="30" customWidth="1"/>
    <col min="15" max="15" width="20.42578125" style="30" customWidth="1"/>
    <col min="16" max="16" width="12.85546875" style="30" bestFit="1" customWidth="1"/>
    <col min="17" max="17" width="9.7109375" style="30" bestFit="1" customWidth="1"/>
    <col min="18" max="18" width="6.5703125" style="30" hidden="1" customWidth="1"/>
    <col min="19" max="19" width="10" style="30" hidden="1" customWidth="1"/>
    <col min="20" max="20" width="11.42578125" style="30" hidden="1" customWidth="1"/>
    <col min="21" max="21" width="8.85546875" style="30" hidden="1" customWidth="1"/>
    <col min="22" max="22" width="11.28515625" style="30" hidden="1" customWidth="1"/>
    <col min="23" max="23" width="13.7109375" style="30" hidden="1" customWidth="1"/>
    <col min="24" max="24" width="11.42578125" style="30" hidden="1" customWidth="1"/>
    <col min="25" max="25" width="9.7109375" style="30" hidden="1" customWidth="1"/>
    <col min="26" max="26" width="11.28515625" style="30" bestFit="1" customWidth="1"/>
    <col min="27" max="27" width="11.28515625" style="30" customWidth="1"/>
    <col min="28" max="28" width="10.28515625" style="30" hidden="1" customWidth="1"/>
    <col min="29" max="29" width="15.140625" style="30" bestFit="1" customWidth="1"/>
    <col min="30" max="30" width="12.5703125" style="31" customWidth="1"/>
    <col min="31" max="31" width="8.28515625" style="30" bestFit="1" customWidth="1"/>
    <col min="32" max="32" width="7.85546875" style="30" bestFit="1" customWidth="1"/>
    <col min="33" max="36" width="4.7109375" style="30" customWidth="1"/>
    <col min="37" max="37" width="15.140625" style="30" customWidth="1"/>
    <col min="38" max="38" width="15.5703125" style="30" customWidth="1"/>
    <col min="39" max="39" width="14.42578125" style="30" customWidth="1"/>
    <col min="40" max="40" width="33.28515625" style="30" bestFit="1" customWidth="1"/>
    <col min="41" max="41" width="17.7109375" style="30" bestFit="1" customWidth="1"/>
    <col min="42" max="42" width="42.28515625" style="30" bestFit="1" customWidth="1"/>
    <col min="43" max="43" width="23.42578125" style="30" bestFit="1" customWidth="1"/>
    <col min="44" max="44" width="31.140625" style="30" bestFit="1" customWidth="1"/>
    <col min="45" max="45" width="47.140625" style="30" bestFit="1" customWidth="1"/>
    <col min="46" max="46" width="12" style="30" bestFit="1" customWidth="1"/>
    <col min="47" max="16384" width="9.140625" style="30"/>
  </cols>
  <sheetData>
    <row r="1" spans="1:40" ht="15.75" thickBot="1" x14ac:dyDescent="0.3">
      <c r="C1" s="122" t="s">
        <v>62</v>
      </c>
      <c r="D1" s="123"/>
      <c r="E1" s="123"/>
      <c r="F1" s="123"/>
      <c r="G1" s="124"/>
    </row>
    <row r="3" spans="1:40" ht="21" x14ac:dyDescent="0.35">
      <c r="B3" s="125" t="s">
        <v>2</v>
      </c>
      <c r="C3" s="125"/>
      <c r="D3" s="125"/>
      <c r="E3" s="125"/>
    </row>
    <row r="4" spans="1:40" ht="37.5" x14ac:dyDescent="0.3">
      <c r="B4" s="32" t="s">
        <v>193</v>
      </c>
      <c r="C4" s="33" t="s">
        <v>194</v>
      </c>
      <c r="D4" s="34" t="s">
        <v>3</v>
      </c>
      <c r="E4" s="35" t="s">
        <v>4</v>
      </c>
    </row>
    <row r="5" spans="1:40" ht="15" customHeight="1" x14ac:dyDescent="0.25">
      <c r="A5" s="126"/>
      <c r="B5" s="127">
        <v>1</v>
      </c>
      <c r="C5" s="36" t="s">
        <v>1</v>
      </c>
      <c r="D5" s="37">
        <f>INDEX(Reference!$C:$G,MATCH($C$1,Reference!$B:$B,0),ROW()-ROW($B$4))</f>
        <v>5.7735026918962602E-2</v>
      </c>
      <c r="E5" s="130">
        <f>D5*(0.4*10^D6+0.2*10^D7+0.2*10^D8+0.2*10^D9)</f>
        <v>255.18881898181471</v>
      </c>
      <c r="G5" s="38"/>
      <c r="I5" s="38"/>
    </row>
    <row r="6" spans="1:40" x14ac:dyDescent="0.25">
      <c r="A6" s="126"/>
      <c r="B6" s="128"/>
      <c r="C6" s="36" t="s">
        <v>5</v>
      </c>
      <c r="D6" s="39">
        <f>INDEX(Reference!$C:$G,MATCH($C$1,Reference!$B:$B,0),ROW()-ROW($B$4))</f>
        <v>4</v>
      </c>
      <c r="E6" s="131"/>
      <c r="I6" s="40"/>
    </row>
    <row r="7" spans="1:40" x14ac:dyDescent="0.25">
      <c r="A7" s="126"/>
      <c r="B7" s="128"/>
      <c r="C7" s="36" t="s">
        <v>6</v>
      </c>
      <c r="D7" s="39">
        <f>INDEX(Reference!$C:$G,MATCH($C$1,Reference!$B:$B,0),ROW()-ROW($B$4))</f>
        <v>3</v>
      </c>
      <c r="E7" s="131"/>
      <c r="I7" s="40"/>
      <c r="K7" s="40"/>
    </row>
    <row r="8" spans="1:40" x14ac:dyDescent="0.25">
      <c r="A8" s="126"/>
      <c r="B8" s="128"/>
      <c r="C8" s="36" t="s">
        <v>7</v>
      </c>
      <c r="D8" s="39">
        <f>INDEX(Reference!$C:$G,MATCH($C$1,Reference!$B:$B,0),ROW()-ROW($B$4))</f>
        <v>3</v>
      </c>
      <c r="E8" s="131"/>
    </row>
    <row r="9" spans="1:40" x14ac:dyDescent="0.25">
      <c r="A9" s="126"/>
      <c r="B9" s="129"/>
      <c r="C9" s="36" t="s">
        <v>8</v>
      </c>
      <c r="D9" s="39">
        <f>INDEX(Reference!$C:$G,MATCH($C$1,Reference!$B:$B,0),ROW()-ROW($B$4))</f>
        <v>2</v>
      </c>
      <c r="E9" s="132"/>
    </row>
    <row r="11" spans="1:40" x14ac:dyDescent="0.25">
      <c r="P11" s="30" t="s">
        <v>66</v>
      </c>
      <c r="Q11" s="41">
        <f>D5</f>
        <v>5.7735026918962602E-2</v>
      </c>
      <c r="R11" s="30">
        <f>D6</f>
        <v>4</v>
      </c>
      <c r="S11" s="30">
        <f>D7</f>
        <v>3</v>
      </c>
      <c r="T11" s="30">
        <f>D8</f>
        <v>3</v>
      </c>
      <c r="U11" s="30">
        <f>D9</f>
        <v>2</v>
      </c>
      <c r="V11" s="42"/>
    </row>
    <row r="12" spans="1:40" x14ac:dyDescent="0.25">
      <c r="G12" s="18"/>
      <c r="H12" s="18"/>
      <c r="I12" s="43"/>
      <c r="J12" s="121" t="s">
        <v>9</v>
      </c>
      <c r="K12" s="121"/>
      <c r="L12" s="44"/>
      <c r="M12" s="18"/>
      <c r="N12" s="18"/>
      <c r="O12" s="18"/>
      <c r="P12" s="18"/>
      <c r="Q12" s="45"/>
      <c r="R12" s="46">
        <v>0.4</v>
      </c>
      <c r="S12" s="46">
        <v>0.2</v>
      </c>
      <c r="T12" s="46">
        <v>0.2</v>
      </c>
      <c r="U12" s="46">
        <v>0.2</v>
      </c>
      <c r="V12" s="120" t="s">
        <v>69</v>
      </c>
      <c r="W12" s="120"/>
      <c r="X12" s="120"/>
      <c r="Y12" s="120"/>
      <c r="Z12" s="18"/>
      <c r="AA12" s="18"/>
      <c r="AB12" s="18"/>
      <c r="AC12" s="18"/>
      <c r="AD12" s="47"/>
      <c r="AE12" s="18"/>
      <c r="AF12" s="18"/>
      <c r="AG12" s="18"/>
      <c r="AH12" s="18"/>
      <c r="AI12" s="18"/>
      <c r="AJ12" s="18"/>
      <c r="AM12" s="18"/>
      <c r="AN12" s="18"/>
    </row>
    <row r="13" spans="1:40" s="48" customFormat="1" ht="45" x14ac:dyDescent="0.25">
      <c r="C13" s="35" t="s">
        <v>195</v>
      </c>
      <c r="D13" s="19" t="s">
        <v>10</v>
      </c>
      <c r="G13" s="35" t="s">
        <v>11</v>
      </c>
      <c r="H13" s="35" t="s">
        <v>12</v>
      </c>
      <c r="I13" s="35" t="s">
        <v>75</v>
      </c>
      <c r="J13" s="19" t="s">
        <v>77</v>
      </c>
      <c r="K13" s="19" t="s">
        <v>78</v>
      </c>
      <c r="L13" s="19" t="s">
        <v>13</v>
      </c>
      <c r="M13" s="35" t="s">
        <v>14</v>
      </c>
      <c r="N13" s="19" t="s">
        <v>15</v>
      </c>
      <c r="O13" s="19" t="s">
        <v>118</v>
      </c>
      <c r="P13" s="35" t="s">
        <v>16</v>
      </c>
      <c r="Q13" s="35" t="s">
        <v>67</v>
      </c>
      <c r="R13" s="35" t="s">
        <v>17</v>
      </c>
      <c r="S13" s="35" t="s">
        <v>18</v>
      </c>
      <c r="T13" s="35" t="s">
        <v>19</v>
      </c>
      <c r="U13" s="35" t="s">
        <v>0</v>
      </c>
      <c r="V13" s="35" t="s">
        <v>17</v>
      </c>
      <c r="W13" s="35" t="s">
        <v>18</v>
      </c>
      <c r="X13" s="35" t="s">
        <v>19</v>
      </c>
      <c r="Y13" s="35" t="s">
        <v>0</v>
      </c>
      <c r="Z13" s="35" t="s">
        <v>68</v>
      </c>
      <c r="AA13" s="35" t="s">
        <v>198</v>
      </c>
      <c r="AB13" s="35" t="s">
        <v>71</v>
      </c>
      <c r="AC13" s="35" t="str">
        <f>IF(D17=1,"Calibrated, ","")&amp;"Weighted New Score"</f>
        <v>Weighted New Score</v>
      </c>
      <c r="AD13" s="49" t="s">
        <v>65</v>
      </c>
      <c r="AE13" s="35" t="s">
        <v>197</v>
      </c>
      <c r="AF13" s="35" t="s">
        <v>70</v>
      </c>
      <c r="AG13" s="35"/>
      <c r="AH13" s="35"/>
      <c r="AI13" s="35"/>
      <c r="AJ13" s="50"/>
    </row>
    <row r="14" spans="1:40" ht="105" x14ac:dyDescent="0.25">
      <c r="C14" s="51" t="s">
        <v>196</v>
      </c>
      <c r="D14" s="51">
        <v>0</v>
      </c>
      <c r="G14" s="51" t="s">
        <v>64</v>
      </c>
      <c r="H14" s="52" t="s">
        <v>119</v>
      </c>
      <c r="I14" s="52" t="s">
        <v>121</v>
      </c>
      <c r="J14" s="53">
        <v>0</v>
      </c>
      <c r="K14" s="53">
        <v>-4607</v>
      </c>
      <c r="L14" s="53">
        <f>(0.08*J14)/(1-(1+0.08)^-N14)</f>
        <v>0</v>
      </c>
      <c r="M14" s="54" t="s">
        <v>20</v>
      </c>
      <c r="N14" s="54">
        <v>1</v>
      </c>
      <c r="O14" s="52" t="s">
        <v>190</v>
      </c>
      <c r="P14" s="16">
        <f>-100*Data!S108/3</f>
        <v>-352.714826453326</v>
      </c>
      <c r="Q14" s="16">
        <f>+D5*(100-P14)/100</f>
        <v>0.26137502691896258</v>
      </c>
      <c r="R14" s="54">
        <v>0</v>
      </c>
      <c r="S14" s="55">
        <v>0</v>
      </c>
      <c r="T14" s="55">
        <v>0</v>
      </c>
      <c r="U14" s="55">
        <v>0</v>
      </c>
      <c r="V14" s="10">
        <f>(R$12)* ((10^R$11)*(1-(R14/100)))</f>
        <v>4000</v>
      </c>
      <c r="W14" s="10">
        <f t="shared" ref="W14:Y14" si="0">(S$12)* ((10^S$11)*(1-(S14/100)))</f>
        <v>200</v>
      </c>
      <c r="X14" s="10">
        <f t="shared" si="0"/>
        <v>200</v>
      </c>
      <c r="Y14" s="10">
        <f t="shared" si="0"/>
        <v>20</v>
      </c>
      <c r="Z14" s="11">
        <f>Q14*SUM(V14:Y14)</f>
        <v>1155.2776189818146</v>
      </c>
      <c r="AA14" s="11">
        <f>($E$5-Z14)*N14</f>
        <v>-900.08879999999988</v>
      </c>
      <c r="AB14" s="12">
        <v>1</v>
      </c>
      <c r="AC14" s="13">
        <f>IF($D$15=1,AA14*AB14*IF($D$17=1,$B$5,1),AA14*IF($D$17=1,$B$5,1))</f>
        <v>-900.08879999999988</v>
      </c>
      <c r="AD14" s="14">
        <f>J14+K14*N14</f>
        <v>-4607</v>
      </c>
      <c r="AE14" s="17">
        <f>AC14/AD14</f>
        <v>0.19537416974169738</v>
      </c>
      <c r="AF14" s="15">
        <f>RANK(AE14,$AE$14:$AE$21)</f>
        <v>1</v>
      </c>
      <c r="AG14" s="56"/>
      <c r="AH14" s="51"/>
      <c r="AI14" s="51"/>
      <c r="AJ14" s="57"/>
      <c r="AK14" s="58"/>
      <c r="AL14" s="58"/>
    </row>
    <row r="15" spans="1:40" x14ac:dyDescent="0.25">
      <c r="C15" s="51" t="s">
        <v>21</v>
      </c>
      <c r="D15" s="51">
        <v>0</v>
      </c>
      <c r="G15" s="51"/>
      <c r="H15" s="52"/>
      <c r="I15" s="59"/>
      <c r="J15" s="60"/>
      <c r="K15" s="60"/>
      <c r="L15" s="60"/>
      <c r="M15" s="57"/>
      <c r="N15" s="57"/>
      <c r="O15" s="61"/>
      <c r="P15" s="61"/>
      <c r="Q15" s="61"/>
      <c r="R15" s="62"/>
      <c r="S15" s="62"/>
      <c r="T15" s="62"/>
      <c r="U15" s="62"/>
      <c r="V15" s="63"/>
      <c r="W15" s="63"/>
      <c r="X15" s="63"/>
      <c r="Y15" s="63"/>
      <c r="Z15" s="64"/>
      <c r="AA15" s="64"/>
      <c r="AB15" s="65"/>
      <c r="AC15" s="66"/>
      <c r="AD15" s="67"/>
      <c r="AE15" s="68"/>
      <c r="AF15" s="69"/>
      <c r="AG15" s="70"/>
      <c r="AH15" s="71"/>
      <c r="AI15" s="72"/>
      <c r="AJ15" s="57"/>
      <c r="AK15" s="58"/>
      <c r="AL15" s="58"/>
    </row>
    <row r="16" spans="1:40" x14ac:dyDescent="0.25">
      <c r="C16" s="51" t="s">
        <v>22</v>
      </c>
      <c r="D16" s="51">
        <v>0</v>
      </c>
      <c r="G16" s="51"/>
      <c r="H16" s="52"/>
      <c r="I16" s="59"/>
      <c r="J16" s="60"/>
      <c r="K16" s="60"/>
      <c r="L16" s="60"/>
      <c r="M16" s="57"/>
      <c r="N16" s="57"/>
      <c r="O16" s="61"/>
      <c r="P16" s="61"/>
      <c r="Q16" s="61"/>
      <c r="R16" s="62"/>
      <c r="S16" s="62"/>
      <c r="T16" s="62"/>
      <c r="U16" s="62"/>
      <c r="V16" s="63"/>
      <c r="W16" s="63"/>
      <c r="X16" s="63"/>
      <c r="Y16" s="63"/>
      <c r="Z16" s="64"/>
      <c r="AA16" s="64"/>
      <c r="AB16" s="65"/>
      <c r="AC16" s="66"/>
      <c r="AD16" s="67"/>
      <c r="AE16" s="68"/>
      <c r="AF16" s="69"/>
      <c r="AG16" s="70"/>
      <c r="AH16" s="71"/>
      <c r="AI16" s="72"/>
      <c r="AJ16" s="57"/>
      <c r="AK16" s="58"/>
      <c r="AL16" s="58"/>
    </row>
    <row r="17" spans="3:38" x14ac:dyDescent="0.25">
      <c r="C17" s="51" t="s">
        <v>193</v>
      </c>
      <c r="D17" s="51">
        <v>0</v>
      </c>
      <c r="G17" s="51"/>
      <c r="H17" s="52"/>
      <c r="I17" s="59"/>
      <c r="J17" s="60"/>
      <c r="K17" s="60"/>
      <c r="L17" s="60"/>
      <c r="M17" s="57"/>
      <c r="N17" s="57"/>
      <c r="O17" s="61"/>
      <c r="P17" s="61"/>
      <c r="Q17" s="61"/>
      <c r="R17" s="62"/>
      <c r="S17" s="62"/>
      <c r="T17" s="62"/>
      <c r="U17" s="62"/>
      <c r="V17" s="63"/>
      <c r="W17" s="63"/>
      <c r="X17" s="63"/>
      <c r="Y17" s="63"/>
      <c r="Z17" s="64"/>
      <c r="AA17" s="64"/>
      <c r="AB17" s="65"/>
      <c r="AC17" s="66"/>
      <c r="AD17" s="67"/>
      <c r="AE17" s="68"/>
      <c r="AF17" s="69"/>
      <c r="AG17" s="70"/>
      <c r="AH17" s="71"/>
      <c r="AI17" s="72"/>
      <c r="AJ17" s="57"/>
      <c r="AK17" s="58"/>
      <c r="AL17" s="58"/>
    </row>
    <row r="18" spans="3:38" x14ac:dyDescent="0.25">
      <c r="C18" s="57"/>
      <c r="D18" s="57"/>
      <c r="G18" s="51"/>
      <c r="H18" s="52"/>
      <c r="I18" s="59"/>
      <c r="J18" s="60"/>
      <c r="K18" s="60"/>
      <c r="L18" s="60"/>
      <c r="M18" s="57"/>
      <c r="N18" s="57"/>
      <c r="O18" s="61"/>
      <c r="P18" s="61"/>
      <c r="Q18" s="61"/>
      <c r="R18" s="62"/>
      <c r="S18" s="62"/>
      <c r="T18" s="62"/>
      <c r="U18" s="62"/>
      <c r="V18" s="63"/>
      <c r="W18" s="63"/>
      <c r="X18" s="63"/>
      <c r="Y18" s="63"/>
      <c r="Z18" s="64"/>
      <c r="AA18" s="64"/>
      <c r="AB18" s="65"/>
      <c r="AC18" s="66"/>
      <c r="AD18" s="67"/>
      <c r="AE18" s="68"/>
      <c r="AF18" s="69"/>
      <c r="AG18" s="70"/>
      <c r="AH18" s="71"/>
      <c r="AI18" s="72"/>
      <c r="AJ18" s="57"/>
      <c r="AK18" s="58"/>
      <c r="AL18" s="58"/>
    </row>
    <row r="19" spans="3:38" x14ac:dyDescent="0.25">
      <c r="G19" s="51"/>
      <c r="H19" s="52"/>
      <c r="I19" s="59"/>
      <c r="J19" s="60"/>
      <c r="K19" s="60"/>
      <c r="L19" s="60"/>
      <c r="M19" s="57"/>
      <c r="N19" s="57"/>
      <c r="O19" s="61"/>
      <c r="P19" s="61"/>
      <c r="Q19" s="61"/>
      <c r="R19" s="62"/>
      <c r="S19" s="62"/>
      <c r="T19" s="62"/>
      <c r="U19" s="62"/>
      <c r="V19" s="63"/>
      <c r="W19" s="63"/>
      <c r="X19" s="63"/>
      <c r="Y19" s="63"/>
      <c r="Z19" s="64"/>
      <c r="AA19" s="64"/>
      <c r="AB19" s="65"/>
      <c r="AC19" s="66"/>
      <c r="AD19" s="67"/>
      <c r="AE19" s="68"/>
      <c r="AF19" s="69"/>
      <c r="AG19" s="70"/>
      <c r="AH19" s="71"/>
      <c r="AI19" s="72"/>
      <c r="AJ19" s="57"/>
      <c r="AK19" s="58"/>
      <c r="AL19" s="58"/>
    </row>
    <row r="20" spans="3:38" x14ac:dyDescent="0.25">
      <c r="G20" s="51"/>
      <c r="H20" s="52"/>
      <c r="I20" s="52"/>
      <c r="J20" s="60"/>
      <c r="K20" s="60"/>
      <c r="L20" s="60"/>
      <c r="M20" s="57"/>
      <c r="N20" s="57"/>
      <c r="O20" s="61"/>
      <c r="P20" s="61"/>
      <c r="Q20" s="61"/>
      <c r="R20" s="62"/>
      <c r="S20" s="62"/>
      <c r="T20" s="62"/>
      <c r="U20" s="62"/>
      <c r="V20" s="63"/>
      <c r="W20" s="63"/>
      <c r="X20" s="63"/>
      <c r="Y20" s="63"/>
      <c r="Z20" s="64"/>
      <c r="AA20" s="64"/>
      <c r="AB20" s="65"/>
      <c r="AC20" s="66"/>
      <c r="AD20" s="67"/>
      <c r="AE20" s="68"/>
      <c r="AF20" s="68"/>
      <c r="AG20" s="73"/>
      <c r="AH20" s="74"/>
      <c r="AI20" s="75"/>
      <c r="AJ20" s="76"/>
      <c r="AK20" s="76"/>
    </row>
    <row r="21" spans="3:38" ht="90" x14ac:dyDescent="0.25">
      <c r="G21" s="51" t="s">
        <v>117</v>
      </c>
      <c r="H21" s="52" t="s">
        <v>120</v>
      </c>
      <c r="I21" s="52" t="s">
        <v>121</v>
      </c>
      <c r="J21" s="53">
        <v>0</v>
      </c>
      <c r="K21" s="53">
        <v>731.5</v>
      </c>
      <c r="L21" s="53">
        <f>(0.08*J21)/(1-(1+0.08)^-N21)</f>
        <v>0</v>
      </c>
      <c r="M21" s="54" t="s">
        <v>188</v>
      </c>
      <c r="N21" s="54">
        <v>1</v>
      </c>
      <c r="O21" s="52" t="s">
        <v>191</v>
      </c>
      <c r="P21" s="16">
        <f>100*Data!I45</f>
        <v>44.011269431284404</v>
      </c>
      <c r="Q21" s="16">
        <f>+D5*(100-P21)/100</f>
        <v>3.2325108665433394E-2</v>
      </c>
      <c r="R21" s="54">
        <v>0</v>
      </c>
      <c r="S21" s="55">
        <v>0</v>
      </c>
      <c r="T21" s="55">
        <v>0</v>
      </c>
      <c r="U21" s="55">
        <v>0</v>
      </c>
      <c r="V21" s="10">
        <f>(R$12)* ((10^R$11)*(1-(R21/100)))</f>
        <v>4000</v>
      </c>
      <c r="W21" s="10">
        <f t="shared" ref="W21" si="1">(S$12)* ((10^S$11)*(1-(S21/100)))</f>
        <v>200</v>
      </c>
      <c r="X21" s="10">
        <f t="shared" ref="X21" si="2">(T$12)* ((10^T$11)*(1-(T21/100)))</f>
        <v>200</v>
      </c>
      <c r="Y21" s="10">
        <f t="shared" ref="Y21" si="3">(U$12)* ((10^U$11)*(1-(U21/100)))</f>
        <v>20</v>
      </c>
      <c r="Z21" s="11">
        <f>Q21*SUM(V21:Y21)</f>
        <v>142.87698030121561</v>
      </c>
      <c r="AA21" s="11">
        <f>($E$5-Z21)*N21</f>
        <v>112.3118386805991</v>
      </c>
      <c r="AB21" s="12">
        <v>1</v>
      </c>
      <c r="AC21" s="13">
        <f>IF($D$15=1,AA21*AB21*IF($D$17=1,$B$5,1),AA21*IF($D$17=1,$B$5,1))</f>
        <v>112.3118386805991</v>
      </c>
      <c r="AD21" s="14">
        <f>J21+K21*N21</f>
        <v>731.5</v>
      </c>
      <c r="AE21" s="17">
        <f>AC21/AD21</f>
        <v>0.15353634816213138</v>
      </c>
      <c r="AF21" s="15">
        <f>RANK(AE21,$AE$14:$AE$21)</f>
        <v>2</v>
      </c>
      <c r="AG21" s="70"/>
      <c r="AH21" s="71"/>
      <c r="AI21" s="72"/>
      <c r="AJ21" s="57"/>
      <c r="AK21" s="58"/>
      <c r="AL21" s="58"/>
    </row>
    <row r="23" spans="3:38" x14ac:dyDescent="0.25">
      <c r="M23" s="40"/>
    </row>
  </sheetData>
  <sheetProtection algorithmName="SHA-512" hashValue="r691iQLc/8ZV3tFwq9k1EnUJEu3WYJ4YykhxnzggynpinNY5x/TJwfgQsnh5uveseQuilSp6hS7V5VFiZPGZ9A==" saltValue="G3K/A1a8ShwriXLLyiJaLw==" spinCount="100000" sheet="1" objects="1" scenarios="1"/>
  <mergeCells count="7">
    <mergeCell ref="V12:Y12"/>
    <mergeCell ref="J12:K12"/>
    <mergeCell ref="C1:G1"/>
    <mergeCell ref="B3:E3"/>
    <mergeCell ref="A5:A9"/>
    <mergeCell ref="B5:B9"/>
    <mergeCell ref="E5:E9"/>
  </mergeCells>
  <dataValidations count="1">
    <dataValidation type="list" allowBlank="1" showInputMessage="1" showErrorMessage="1" sqref="M14:M21">
      <formula1>"New, Existing"</formula1>
    </dataValidation>
  </dataValidations>
  <pageMargins left="0.7" right="0.7" top="0.75" bottom="0.75" header="0.3" footer="0.3"/>
  <pageSetup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Reference!$B$2:$B$29</xm:f>
          </x14:formula1>
          <xm:sqref>C1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D115"/>
  <sheetViews>
    <sheetView workbookViewId="0"/>
  </sheetViews>
  <sheetFormatPr defaultRowHeight="15" x14ac:dyDescent="0.25"/>
  <cols>
    <col min="1" max="1" width="14.5703125" style="30" customWidth="1"/>
    <col min="2" max="9" width="6.85546875" style="30" customWidth="1"/>
    <col min="10" max="10" width="2.85546875" style="30" customWidth="1"/>
    <col min="11" max="11" width="7.140625" style="30" customWidth="1"/>
    <col min="12" max="12" width="45.85546875" style="30" bestFit="1" customWidth="1"/>
    <col min="13" max="18" width="9.140625" style="30"/>
    <col min="19" max="19" width="18" style="30" customWidth="1"/>
    <col min="20" max="20" width="9.42578125" style="30" bestFit="1" customWidth="1"/>
    <col min="21" max="22" width="12.5703125" style="30" bestFit="1" customWidth="1"/>
    <col min="23" max="23" width="12.42578125" style="30" bestFit="1" customWidth="1"/>
    <col min="24" max="24" width="9" style="30" bestFit="1" customWidth="1"/>
    <col min="25" max="25" width="9.7109375" style="30" bestFit="1" customWidth="1"/>
    <col min="26" max="29" width="9.140625" style="30"/>
    <col min="30" max="30" width="9.85546875" style="30" bestFit="1" customWidth="1"/>
    <col min="31" max="16384" width="9.140625" style="30"/>
  </cols>
  <sheetData>
    <row r="1" spans="1:27" x14ac:dyDescent="0.25">
      <c r="A1" s="77" t="s">
        <v>79</v>
      </c>
    </row>
    <row r="3" spans="1:27" x14ac:dyDescent="0.25">
      <c r="B3" s="78" t="s">
        <v>81</v>
      </c>
      <c r="C3" s="79" t="s">
        <v>82</v>
      </c>
      <c r="D3" s="79" t="s">
        <v>83</v>
      </c>
      <c r="E3" s="80" t="s">
        <v>84</v>
      </c>
      <c r="F3" s="80" t="s">
        <v>85</v>
      </c>
      <c r="G3" s="80" t="s">
        <v>86</v>
      </c>
      <c r="H3" s="80" t="s">
        <v>87</v>
      </c>
      <c r="I3" s="81" t="s">
        <v>88</v>
      </c>
      <c r="J3" s="82"/>
      <c r="K3" s="83" t="s">
        <v>89</v>
      </c>
      <c r="L3" s="83"/>
      <c r="M3" s="83"/>
      <c r="N3" s="83"/>
      <c r="O3" s="83"/>
      <c r="P3" s="83"/>
      <c r="Q3" s="84"/>
      <c r="S3" s="30" t="s">
        <v>75</v>
      </c>
      <c r="T3" s="30">
        <v>2015</v>
      </c>
      <c r="U3" s="30">
        <v>2017</v>
      </c>
      <c r="W3" s="30">
        <v>2018</v>
      </c>
      <c r="Y3" s="30" t="s">
        <v>102</v>
      </c>
      <c r="Z3" s="30" t="s">
        <v>103</v>
      </c>
      <c r="AA3" s="30" t="s">
        <v>104</v>
      </c>
    </row>
    <row r="4" spans="1:27" x14ac:dyDescent="0.25">
      <c r="B4" s="85">
        <v>16.382252559726961</v>
      </c>
      <c r="C4" s="86">
        <v>16.43100926377377</v>
      </c>
      <c r="D4" s="86">
        <v>25.69478303266699</v>
      </c>
      <c r="E4" s="86">
        <v>13.993174061433447</v>
      </c>
      <c r="F4" s="86">
        <v>4.9731838127742565</v>
      </c>
      <c r="G4" s="86">
        <v>3.6567528035104822</v>
      </c>
      <c r="H4" s="86">
        <v>6.5333983422720623</v>
      </c>
      <c r="I4" s="87">
        <v>12.335446123842027</v>
      </c>
      <c r="J4" s="88"/>
      <c r="K4" s="89" t="s">
        <v>90</v>
      </c>
      <c r="L4" s="57"/>
      <c r="M4" s="57"/>
      <c r="N4" s="57"/>
      <c r="O4" s="57"/>
      <c r="P4" s="57"/>
      <c r="Q4" s="90"/>
      <c r="T4" s="30" t="s">
        <v>100</v>
      </c>
      <c r="U4" s="30" t="s">
        <v>101</v>
      </c>
      <c r="W4" s="30" t="s">
        <v>101</v>
      </c>
      <c r="Y4" s="30">
        <v>2019</v>
      </c>
      <c r="Z4" s="30">
        <v>2019</v>
      </c>
      <c r="AA4" s="30" t="s">
        <v>105</v>
      </c>
    </row>
    <row r="5" spans="1:27" x14ac:dyDescent="0.25">
      <c r="B5" s="91"/>
      <c r="C5" s="92"/>
      <c r="D5" s="92"/>
      <c r="E5" s="92"/>
      <c r="F5" s="92"/>
      <c r="G5" s="92"/>
      <c r="H5" s="92"/>
      <c r="I5" s="93"/>
      <c r="J5" s="94"/>
      <c r="K5" s="95"/>
      <c r="L5" s="95"/>
      <c r="M5" s="95"/>
      <c r="N5" s="95"/>
      <c r="O5" s="95"/>
      <c r="P5" s="95"/>
      <c r="Q5" s="96"/>
      <c r="S5" s="30" t="s">
        <v>106</v>
      </c>
      <c r="T5" s="97">
        <v>62</v>
      </c>
      <c r="U5" s="98">
        <v>109</v>
      </c>
      <c r="V5" s="98">
        <v>159</v>
      </c>
      <c r="W5" s="98">
        <v>175</v>
      </c>
      <c r="X5" s="98">
        <v>379</v>
      </c>
      <c r="Y5" s="98">
        <v>203</v>
      </c>
      <c r="Z5" s="98">
        <v>434</v>
      </c>
    </row>
    <row r="6" spans="1:27" x14ac:dyDescent="0.25">
      <c r="B6" s="78"/>
      <c r="C6" s="80"/>
      <c r="D6" s="80"/>
      <c r="E6" s="80"/>
      <c r="F6" s="80"/>
      <c r="G6" s="80"/>
      <c r="H6" s="80"/>
      <c r="I6" s="81"/>
      <c r="J6" s="82"/>
      <c r="K6" s="83"/>
      <c r="L6" s="83"/>
      <c r="M6" s="83"/>
      <c r="N6" s="83"/>
      <c r="O6" s="83"/>
      <c r="P6" s="83"/>
      <c r="Q6" s="84"/>
    </row>
    <row r="7" spans="1:27" x14ac:dyDescent="0.25">
      <c r="B7" s="85">
        <v>59.969535999999998</v>
      </c>
      <c r="C7" s="86">
        <v>73.438461728668983</v>
      </c>
      <c r="D7" s="86">
        <v>80.693384601825954</v>
      </c>
      <c r="E7" s="86">
        <v>85.859337323368663</v>
      </c>
      <c r="F7" s="86">
        <v>89.932456056908251</v>
      </c>
      <c r="G7" s="86">
        <v>93.323085220802227</v>
      </c>
      <c r="H7" s="86">
        <v>96.243013660463461</v>
      </c>
      <c r="I7" s="87">
        <v>98.816806533870178</v>
      </c>
      <c r="J7" s="88"/>
      <c r="K7" s="57" t="s">
        <v>91</v>
      </c>
      <c r="L7" s="57"/>
      <c r="M7" s="57"/>
      <c r="N7" s="57"/>
      <c r="O7" s="57"/>
      <c r="P7" s="57"/>
      <c r="Q7" s="90"/>
      <c r="S7" s="30" t="s">
        <v>107</v>
      </c>
      <c r="T7" s="97">
        <v>172</v>
      </c>
      <c r="U7" s="30">
        <v>446</v>
      </c>
      <c r="V7" s="30">
        <v>947</v>
      </c>
      <c r="W7" s="30">
        <v>463</v>
      </c>
      <c r="X7" s="30">
        <v>969</v>
      </c>
      <c r="Y7" s="30">
        <v>611</v>
      </c>
      <c r="Z7" s="30">
        <v>1200</v>
      </c>
    </row>
    <row r="8" spans="1:27" x14ac:dyDescent="0.25">
      <c r="B8" s="99"/>
      <c r="C8" s="100"/>
      <c r="D8" s="100"/>
      <c r="E8" s="100"/>
      <c r="F8" s="100"/>
      <c r="G8" s="100"/>
      <c r="H8" s="100"/>
      <c r="I8" s="101"/>
      <c r="J8" s="94"/>
      <c r="K8" s="95"/>
      <c r="L8" s="95"/>
      <c r="M8" s="95"/>
      <c r="N8" s="95"/>
      <c r="O8" s="95"/>
      <c r="P8" s="95"/>
      <c r="Q8" s="96"/>
    </row>
    <row r="9" spans="1:27" x14ac:dyDescent="0.25">
      <c r="B9" s="102"/>
      <c r="C9" s="102"/>
      <c r="D9" s="102"/>
      <c r="E9" s="102"/>
      <c r="F9" s="102"/>
      <c r="G9" s="102"/>
      <c r="H9" s="102"/>
      <c r="I9" s="102"/>
      <c r="S9" s="30" t="s">
        <v>108</v>
      </c>
      <c r="T9" s="97">
        <v>20</v>
      </c>
      <c r="U9" s="30">
        <v>27</v>
      </c>
      <c r="V9" s="30">
        <v>68</v>
      </c>
      <c r="W9" s="30">
        <v>26</v>
      </c>
      <c r="X9" s="30">
        <v>67</v>
      </c>
      <c r="Y9" s="30">
        <v>23</v>
      </c>
      <c r="Z9" s="30">
        <v>63</v>
      </c>
    </row>
    <row r="10" spans="1:27" x14ac:dyDescent="0.25">
      <c r="B10" s="102"/>
      <c r="C10" s="102"/>
      <c r="D10" s="102"/>
      <c r="E10" s="102"/>
      <c r="F10" s="102"/>
      <c r="G10" s="102"/>
      <c r="H10" s="102"/>
      <c r="I10" s="103">
        <f>SUMPRODUCT(B4:I4,B7:I7)/100</f>
        <v>81.002012183552694</v>
      </c>
      <c r="K10" s="104" t="s">
        <v>92</v>
      </c>
    </row>
    <row r="11" spans="1:27" x14ac:dyDescent="0.25">
      <c r="B11" s="102"/>
      <c r="C11" s="102"/>
      <c r="D11" s="102"/>
      <c r="E11" s="102"/>
      <c r="F11" s="102"/>
      <c r="G11" s="102"/>
      <c r="H11" s="102"/>
      <c r="I11" s="103"/>
      <c r="S11" s="30" t="s">
        <v>109</v>
      </c>
      <c r="T11" s="97">
        <v>267</v>
      </c>
      <c r="U11" s="30">
        <v>1300</v>
      </c>
      <c r="V11" s="30">
        <v>2800</v>
      </c>
      <c r="W11" s="30">
        <v>1500</v>
      </c>
      <c r="X11" s="30">
        <v>3100</v>
      </c>
      <c r="Y11" s="30">
        <v>1900</v>
      </c>
      <c r="Z11" s="30">
        <v>3600</v>
      </c>
    </row>
    <row r="12" spans="1:27" x14ac:dyDescent="0.25">
      <c r="B12" s="102"/>
      <c r="C12" s="102"/>
      <c r="D12" s="102"/>
      <c r="E12" s="102"/>
      <c r="F12" s="102"/>
      <c r="G12" s="102"/>
      <c r="H12" s="102"/>
      <c r="I12" s="102"/>
    </row>
    <row r="13" spans="1:27" x14ac:dyDescent="0.25">
      <c r="B13" s="105">
        <f>100-SUM(C13:I13)</f>
        <v>34.221311475409848</v>
      </c>
      <c r="C13" s="106">
        <f t="shared" ref="C13:D13" si="0">+B4</f>
        <v>16.382252559726961</v>
      </c>
      <c r="D13" s="106">
        <f t="shared" si="0"/>
        <v>16.43100926377377</v>
      </c>
      <c r="E13" s="106">
        <f>+D4</f>
        <v>25.69478303266699</v>
      </c>
      <c r="F13" s="106">
        <f>+SUM(E4:I4)-100*B22</f>
        <v>7.27064366842243</v>
      </c>
      <c r="G13" s="106">
        <v>0</v>
      </c>
      <c r="H13" s="106">
        <v>0</v>
      </c>
      <c r="I13" s="107">
        <v>0</v>
      </c>
      <c r="J13" s="82"/>
      <c r="K13" s="108" t="s">
        <v>93</v>
      </c>
      <c r="L13" s="83"/>
      <c r="M13" s="83"/>
      <c r="N13" s="83"/>
      <c r="O13" s="83"/>
      <c r="P13" s="83"/>
      <c r="Q13" s="84"/>
      <c r="S13" s="30" t="s">
        <v>110</v>
      </c>
      <c r="T13" s="97">
        <v>1</v>
      </c>
      <c r="U13" s="30">
        <v>1</v>
      </c>
      <c r="V13" s="30">
        <v>1</v>
      </c>
      <c r="W13" s="30">
        <v>1</v>
      </c>
      <c r="X13" s="30">
        <v>1</v>
      </c>
      <c r="Y13" s="30">
        <v>1</v>
      </c>
      <c r="Z13" s="30">
        <v>1</v>
      </c>
    </row>
    <row r="14" spans="1:27" x14ac:dyDescent="0.25">
      <c r="B14" s="91"/>
      <c r="C14" s="92"/>
      <c r="D14" s="92"/>
      <c r="E14" s="92"/>
      <c r="F14" s="92"/>
      <c r="G14" s="92"/>
      <c r="H14" s="92"/>
      <c r="I14" s="93"/>
      <c r="J14" s="94"/>
      <c r="K14" s="95" t="s">
        <v>94</v>
      </c>
      <c r="L14" s="95"/>
      <c r="M14" s="95"/>
      <c r="N14" s="95"/>
      <c r="O14" s="95"/>
      <c r="P14" s="95"/>
      <c r="Q14" s="96"/>
      <c r="S14" s="30" t="s">
        <v>111</v>
      </c>
      <c r="T14" s="97">
        <v>3</v>
      </c>
      <c r="U14" s="30">
        <v>49</v>
      </c>
      <c r="V14" s="30">
        <v>554</v>
      </c>
      <c r="W14" s="30">
        <v>49</v>
      </c>
      <c r="X14" s="30">
        <v>554</v>
      </c>
      <c r="Y14" s="30">
        <v>50</v>
      </c>
      <c r="Z14" s="30">
        <v>555</v>
      </c>
    </row>
    <row r="15" spans="1:27" x14ac:dyDescent="0.25">
      <c r="B15" s="102"/>
      <c r="C15" s="102"/>
      <c r="D15" s="102"/>
      <c r="E15" s="102"/>
      <c r="F15" s="102"/>
      <c r="G15" s="102"/>
      <c r="H15" s="102"/>
      <c r="I15" s="102"/>
      <c r="S15" s="30" t="s">
        <v>112</v>
      </c>
      <c r="T15" s="97">
        <v>167</v>
      </c>
      <c r="U15" s="30">
        <v>41</v>
      </c>
      <c r="V15" s="30">
        <v>51</v>
      </c>
      <c r="W15" s="30">
        <v>35</v>
      </c>
      <c r="X15" s="30">
        <v>44</v>
      </c>
      <c r="Y15" s="30">
        <v>31</v>
      </c>
      <c r="Z15" s="30">
        <v>38</v>
      </c>
    </row>
    <row r="16" spans="1:27" x14ac:dyDescent="0.25">
      <c r="B16" s="102"/>
      <c r="C16" s="102"/>
      <c r="D16" s="102"/>
      <c r="E16" s="102"/>
      <c r="F16" s="102"/>
      <c r="G16" s="102"/>
      <c r="H16" s="102"/>
      <c r="I16" s="103">
        <f>SUMPRODUCT(B13:I13,B7:I7)/100</f>
        <v>74.412012341149264</v>
      </c>
      <c r="K16" s="104" t="s">
        <v>95</v>
      </c>
      <c r="S16" s="30" t="s">
        <v>113</v>
      </c>
      <c r="T16" s="97">
        <v>327</v>
      </c>
      <c r="U16" s="30">
        <v>687</v>
      </c>
      <c r="V16" s="30">
        <v>966</v>
      </c>
      <c r="W16" s="30">
        <v>687</v>
      </c>
      <c r="X16" s="30">
        <v>966</v>
      </c>
      <c r="Y16" s="30">
        <v>767</v>
      </c>
      <c r="Z16" s="30">
        <v>1100</v>
      </c>
    </row>
    <row r="17" spans="1:30" x14ac:dyDescent="0.25">
      <c r="B17" s="102"/>
      <c r="C17" s="102"/>
      <c r="D17" s="102"/>
      <c r="E17" s="102"/>
      <c r="F17" s="102"/>
      <c r="G17" s="102"/>
      <c r="H17" s="102"/>
      <c r="I17" s="103"/>
      <c r="S17" s="30" t="s">
        <v>114</v>
      </c>
      <c r="T17" s="97">
        <v>76</v>
      </c>
      <c r="U17" s="30">
        <v>92</v>
      </c>
      <c r="V17" s="30">
        <v>231</v>
      </c>
      <c r="W17" s="30">
        <v>92</v>
      </c>
      <c r="X17" s="30">
        <v>231</v>
      </c>
      <c r="Y17" s="30">
        <v>32</v>
      </c>
      <c r="Z17" s="30">
        <v>121</v>
      </c>
    </row>
    <row r="18" spans="1:30" x14ac:dyDescent="0.25">
      <c r="B18" s="102"/>
      <c r="C18" s="102"/>
      <c r="D18" s="102"/>
      <c r="E18" s="102"/>
      <c r="F18" s="102"/>
      <c r="G18" s="102"/>
      <c r="H18" s="102"/>
      <c r="I18" s="109">
        <f>+(100-I16)/(100-I10)</f>
        <v>1.3468788329624155</v>
      </c>
      <c r="J18" s="110"/>
      <c r="K18" s="111" t="s">
        <v>96</v>
      </c>
      <c r="L18" s="111"/>
      <c r="M18" s="112"/>
      <c r="S18" s="30" t="s">
        <v>115</v>
      </c>
    </row>
    <row r="19" spans="1:30" x14ac:dyDescent="0.25">
      <c r="B19" s="102"/>
      <c r="C19" s="102"/>
      <c r="D19" s="102"/>
      <c r="E19" s="102"/>
      <c r="F19" s="102"/>
      <c r="G19" s="102"/>
      <c r="H19" s="102"/>
      <c r="I19" s="113"/>
      <c r="S19" s="30" t="s">
        <v>116</v>
      </c>
      <c r="T19" s="30">
        <v>0</v>
      </c>
      <c r="U19" s="30" t="s">
        <v>122</v>
      </c>
      <c r="V19" s="114" t="s">
        <v>123</v>
      </c>
      <c r="W19" s="114" t="s">
        <v>123</v>
      </c>
    </row>
    <row r="20" spans="1:30" x14ac:dyDescent="0.25">
      <c r="B20" s="102"/>
      <c r="C20" s="102"/>
      <c r="D20" s="102"/>
      <c r="E20" s="102"/>
      <c r="F20" s="102"/>
      <c r="G20" s="102"/>
      <c r="H20" s="102"/>
      <c r="I20" s="115">
        <f>1-1/I18</f>
        <v>0.25754271614727731</v>
      </c>
      <c r="J20" s="110"/>
      <c r="K20" s="111" t="s">
        <v>97</v>
      </c>
      <c r="L20" s="111"/>
      <c r="M20" s="112"/>
    </row>
    <row r="21" spans="1:30" x14ac:dyDescent="0.25">
      <c r="B21" s="102"/>
      <c r="C21" s="102"/>
      <c r="D21" s="102"/>
      <c r="E21" s="102"/>
      <c r="F21" s="102"/>
      <c r="G21" s="102"/>
      <c r="H21" s="102"/>
      <c r="I21" s="103"/>
      <c r="T21" s="97">
        <f>+T5</f>
        <v>62</v>
      </c>
      <c r="V21" s="98">
        <f>+AVERAGE(U5:V5)</f>
        <v>134</v>
      </c>
      <c r="X21" s="98">
        <f>+AVERAGE(W5:X5)</f>
        <v>277</v>
      </c>
      <c r="Z21" s="98">
        <f>+AVERAGE(Y5:Z5)</f>
        <v>318.5</v>
      </c>
      <c r="AB21" s="97">
        <f>+V21-T21</f>
        <v>72</v>
      </c>
      <c r="AC21" s="97">
        <f>+X21-T21</f>
        <v>215</v>
      </c>
      <c r="AD21" s="116">
        <f>+Z21-T21</f>
        <v>256.5</v>
      </c>
    </row>
    <row r="22" spans="1:30" x14ac:dyDescent="0.25">
      <c r="B22" s="117">
        <v>0.34221311475409838</v>
      </c>
      <c r="C22" s="118" t="s">
        <v>98</v>
      </c>
      <c r="D22" s="102"/>
      <c r="E22" s="102"/>
      <c r="F22" s="102"/>
      <c r="G22" s="102"/>
      <c r="H22" s="102"/>
      <c r="I22" s="103"/>
      <c r="T22" s="97"/>
      <c r="V22" s="98"/>
      <c r="X22" s="98"/>
      <c r="Z22" s="98"/>
      <c r="AB22" s="97"/>
      <c r="AC22" s="97"/>
      <c r="AD22" s="116"/>
    </row>
    <row r="23" spans="1:30" x14ac:dyDescent="0.25">
      <c r="B23" s="30">
        <v>0.12</v>
      </c>
      <c r="C23" s="30" t="s">
        <v>80</v>
      </c>
      <c r="D23" s="102"/>
      <c r="E23" s="102"/>
      <c r="F23" s="102"/>
      <c r="G23" s="102"/>
      <c r="H23" s="102"/>
      <c r="I23" s="102"/>
      <c r="T23" s="97">
        <f t="shared" ref="T23:T33" si="1">+T7</f>
        <v>172</v>
      </c>
      <c r="V23" s="98">
        <f t="shared" ref="V23:X33" si="2">+AVERAGE(U7:V7)</f>
        <v>696.5</v>
      </c>
      <c r="X23" s="98">
        <f t="shared" si="2"/>
        <v>716</v>
      </c>
      <c r="Z23" s="98">
        <f t="shared" ref="Z23" si="3">+AVERAGE(Y7:Z7)</f>
        <v>905.5</v>
      </c>
      <c r="AB23" s="97">
        <f t="shared" ref="AB23:AB33" si="4">+V23-T23</f>
        <v>524.5</v>
      </c>
      <c r="AC23" s="97">
        <f t="shared" ref="AC23:AC33" si="5">+X23-T23</f>
        <v>544</v>
      </c>
      <c r="AD23" s="116">
        <f t="shared" ref="AD23:AD33" si="6">+Z23-T23</f>
        <v>733.5</v>
      </c>
    </row>
    <row r="24" spans="1:30" x14ac:dyDescent="0.25">
      <c r="B24" s="102"/>
      <c r="C24" s="102"/>
      <c r="D24" s="102"/>
      <c r="E24" s="102"/>
      <c r="F24" s="102"/>
      <c r="G24" s="102"/>
      <c r="H24" s="102"/>
      <c r="T24" s="97"/>
      <c r="V24" s="98"/>
      <c r="X24" s="98"/>
      <c r="Z24" s="98"/>
      <c r="AB24" s="97"/>
      <c r="AC24" s="97"/>
      <c r="AD24" s="116"/>
    </row>
    <row r="25" spans="1:30" x14ac:dyDescent="0.25">
      <c r="T25" s="97">
        <f t="shared" si="1"/>
        <v>20</v>
      </c>
      <c r="V25" s="98">
        <f t="shared" si="2"/>
        <v>47.5</v>
      </c>
      <c r="X25" s="98">
        <f t="shared" si="2"/>
        <v>46.5</v>
      </c>
      <c r="Z25" s="98">
        <f t="shared" ref="Z25" si="7">+AVERAGE(Y9:Z9)</f>
        <v>43</v>
      </c>
      <c r="AB25" s="97">
        <f t="shared" si="4"/>
        <v>27.5</v>
      </c>
      <c r="AC25" s="97">
        <f t="shared" si="5"/>
        <v>26.5</v>
      </c>
      <c r="AD25" s="116">
        <f t="shared" si="6"/>
        <v>23</v>
      </c>
    </row>
    <row r="26" spans="1:30" x14ac:dyDescent="0.25">
      <c r="A26" s="77" t="s">
        <v>99</v>
      </c>
      <c r="T26" s="97"/>
      <c r="V26" s="98"/>
      <c r="X26" s="98"/>
      <c r="Z26" s="98"/>
      <c r="AB26" s="97"/>
      <c r="AC26" s="97"/>
      <c r="AD26" s="116"/>
    </row>
    <row r="27" spans="1:30" x14ac:dyDescent="0.25">
      <c r="T27" s="97">
        <f t="shared" si="1"/>
        <v>267</v>
      </c>
      <c r="V27" s="98">
        <f t="shared" si="2"/>
        <v>2050</v>
      </c>
      <c r="X27" s="98">
        <f t="shared" si="2"/>
        <v>2300</v>
      </c>
      <c r="Z27" s="98">
        <f t="shared" ref="Z27" si="8">+AVERAGE(Y11:Z11)</f>
        <v>2750</v>
      </c>
      <c r="AB27" s="97">
        <f t="shared" si="4"/>
        <v>1783</v>
      </c>
      <c r="AC27" s="97">
        <f t="shared" si="5"/>
        <v>2033</v>
      </c>
      <c r="AD27" s="116">
        <f t="shared" si="6"/>
        <v>2483</v>
      </c>
    </row>
    <row r="28" spans="1:30" x14ac:dyDescent="0.25">
      <c r="B28" s="78" t="s">
        <v>81</v>
      </c>
      <c r="C28" s="79" t="s">
        <v>82</v>
      </c>
      <c r="D28" s="79" t="s">
        <v>83</v>
      </c>
      <c r="E28" s="80" t="s">
        <v>84</v>
      </c>
      <c r="F28" s="80" t="s">
        <v>85</v>
      </c>
      <c r="G28" s="80" t="s">
        <v>86</v>
      </c>
      <c r="H28" s="80" t="s">
        <v>87</v>
      </c>
      <c r="I28" s="81" t="s">
        <v>189</v>
      </c>
      <c r="J28" s="82"/>
      <c r="K28" s="83" t="s">
        <v>89</v>
      </c>
      <c r="L28" s="83"/>
      <c r="M28" s="83"/>
      <c r="N28" s="83"/>
      <c r="O28" s="83"/>
      <c r="P28" s="83"/>
      <c r="Q28" s="84"/>
      <c r="T28" s="97"/>
      <c r="V28" s="98"/>
      <c r="X28" s="98"/>
      <c r="Z28" s="98"/>
      <c r="AB28" s="97"/>
      <c r="AC28" s="97"/>
      <c r="AD28" s="116"/>
    </row>
    <row r="29" spans="1:30" x14ac:dyDescent="0.25">
      <c r="B29" s="85">
        <v>4.6315789473684212</v>
      </c>
      <c r="C29" s="86">
        <v>6.1052631578947363</v>
      </c>
      <c r="D29" s="86">
        <v>23.578947368421051</v>
      </c>
      <c r="E29" s="86">
        <v>16.210526315789473</v>
      </c>
      <c r="F29" s="86">
        <v>7.1578947368421044</v>
      </c>
      <c r="G29" s="86">
        <v>6.5263157894736841</v>
      </c>
      <c r="H29" s="86">
        <v>12.210526315789473</v>
      </c>
      <c r="I29" s="87">
        <v>23.578947368421051</v>
      </c>
      <c r="J29" s="88"/>
      <c r="K29" s="89" t="s">
        <v>90</v>
      </c>
      <c r="L29" s="57"/>
      <c r="M29" s="57"/>
      <c r="N29" s="57"/>
      <c r="O29" s="57"/>
      <c r="P29" s="57"/>
      <c r="Q29" s="90"/>
      <c r="T29" s="97">
        <f t="shared" si="1"/>
        <v>1</v>
      </c>
      <c r="V29" s="98">
        <f t="shared" si="2"/>
        <v>1</v>
      </c>
      <c r="X29" s="98">
        <f t="shared" si="2"/>
        <v>1</v>
      </c>
      <c r="Z29" s="98">
        <f t="shared" ref="Z29" si="9">+AVERAGE(Y13:Z13)</f>
        <v>1</v>
      </c>
      <c r="AB29" s="97">
        <f t="shared" si="4"/>
        <v>0</v>
      </c>
      <c r="AC29" s="97">
        <f t="shared" si="5"/>
        <v>0</v>
      </c>
      <c r="AD29" s="116">
        <f t="shared" si="6"/>
        <v>0</v>
      </c>
    </row>
    <row r="30" spans="1:30" x14ac:dyDescent="0.25">
      <c r="B30" s="91"/>
      <c r="C30" s="92"/>
      <c r="D30" s="92"/>
      <c r="E30" s="92"/>
      <c r="F30" s="92"/>
      <c r="G30" s="92"/>
      <c r="H30" s="92"/>
      <c r="I30" s="93"/>
      <c r="J30" s="94"/>
      <c r="K30" s="95"/>
      <c r="L30" s="95"/>
      <c r="M30" s="95"/>
      <c r="N30" s="95"/>
      <c r="O30" s="95"/>
      <c r="P30" s="95"/>
      <c r="Q30" s="96"/>
      <c r="T30" s="97">
        <f t="shared" si="1"/>
        <v>3</v>
      </c>
      <c r="V30" s="98">
        <f t="shared" si="2"/>
        <v>301.5</v>
      </c>
      <c r="X30" s="98">
        <f t="shared" si="2"/>
        <v>301.5</v>
      </c>
      <c r="Z30" s="98">
        <f t="shared" ref="Z30" si="10">+AVERAGE(Y14:Z14)</f>
        <v>302.5</v>
      </c>
      <c r="AB30" s="97">
        <f t="shared" si="4"/>
        <v>298.5</v>
      </c>
      <c r="AC30" s="97">
        <f t="shared" si="5"/>
        <v>298.5</v>
      </c>
      <c r="AD30" s="116">
        <f t="shared" si="6"/>
        <v>299.5</v>
      </c>
    </row>
    <row r="31" spans="1:30" x14ac:dyDescent="0.25">
      <c r="B31" s="78"/>
      <c r="C31" s="80"/>
      <c r="D31" s="80"/>
      <c r="E31" s="80"/>
      <c r="F31" s="80"/>
      <c r="G31" s="80"/>
      <c r="H31" s="80"/>
      <c r="I31" s="81"/>
      <c r="J31" s="82"/>
      <c r="K31" s="83"/>
      <c r="L31" s="83"/>
      <c r="M31" s="83"/>
      <c r="N31" s="83"/>
      <c r="O31" s="83"/>
      <c r="P31" s="83"/>
      <c r="Q31" s="84"/>
      <c r="T31" s="97">
        <f t="shared" si="1"/>
        <v>167</v>
      </c>
      <c r="V31" s="98">
        <f t="shared" si="2"/>
        <v>46</v>
      </c>
      <c r="X31" s="98">
        <f t="shared" si="2"/>
        <v>39.5</v>
      </c>
      <c r="Z31" s="98">
        <f t="shared" ref="Z31" si="11">+AVERAGE(Y15:Z15)</f>
        <v>34.5</v>
      </c>
      <c r="AB31" s="97">
        <f t="shared" si="4"/>
        <v>-121</v>
      </c>
      <c r="AC31" s="97">
        <f t="shared" si="5"/>
        <v>-127.5</v>
      </c>
      <c r="AD31" s="116">
        <f t="shared" si="6"/>
        <v>-132.5</v>
      </c>
    </row>
    <row r="32" spans="1:30" x14ac:dyDescent="0.25">
      <c r="B32" s="85">
        <v>59.969535999999998</v>
      </c>
      <c r="C32" s="86">
        <v>73.438461728668983</v>
      </c>
      <c r="D32" s="86">
        <v>80.693384601825954</v>
      </c>
      <c r="E32" s="86">
        <v>85.859337323368663</v>
      </c>
      <c r="F32" s="86">
        <v>89.932456056908251</v>
      </c>
      <c r="G32" s="86">
        <v>93.323085220802227</v>
      </c>
      <c r="H32" s="86">
        <v>96.243013660463461</v>
      </c>
      <c r="I32" s="87">
        <v>98.816806533870178</v>
      </c>
      <c r="J32" s="88"/>
      <c r="K32" s="57" t="s">
        <v>91</v>
      </c>
      <c r="L32" s="57"/>
      <c r="M32" s="57"/>
      <c r="N32" s="57"/>
      <c r="O32" s="57"/>
      <c r="P32" s="57"/>
      <c r="Q32" s="90"/>
      <c r="T32" s="97">
        <f t="shared" si="1"/>
        <v>327</v>
      </c>
      <c r="V32" s="98">
        <f t="shared" si="2"/>
        <v>826.5</v>
      </c>
      <c r="X32" s="98">
        <f t="shared" si="2"/>
        <v>826.5</v>
      </c>
      <c r="Z32" s="98">
        <f t="shared" ref="Z32" si="12">+AVERAGE(Y16:Z16)</f>
        <v>933.5</v>
      </c>
      <c r="AB32" s="97">
        <f t="shared" si="4"/>
        <v>499.5</v>
      </c>
      <c r="AC32" s="97">
        <f t="shared" si="5"/>
        <v>499.5</v>
      </c>
      <c r="AD32" s="116">
        <f t="shared" si="6"/>
        <v>606.5</v>
      </c>
    </row>
    <row r="33" spans="2:30" x14ac:dyDescent="0.25">
      <c r="B33" s="99"/>
      <c r="C33" s="100"/>
      <c r="D33" s="100"/>
      <c r="E33" s="100"/>
      <c r="F33" s="100"/>
      <c r="G33" s="100"/>
      <c r="H33" s="100"/>
      <c r="I33" s="101"/>
      <c r="J33" s="94"/>
      <c r="K33" s="95"/>
      <c r="L33" s="95"/>
      <c r="M33" s="95"/>
      <c r="N33" s="95"/>
      <c r="O33" s="95"/>
      <c r="P33" s="95"/>
      <c r="Q33" s="96"/>
      <c r="T33" s="97">
        <f t="shared" si="1"/>
        <v>76</v>
      </c>
      <c r="V33" s="98">
        <f t="shared" si="2"/>
        <v>161.5</v>
      </c>
      <c r="X33" s="98">
        <f t="shared" si="2"/>
        <v>161.5</v>
      </c>
      <c r="Z33" s="98">
        <f t="shared" ref="Z33" si="13">+AVERAGE(Y17:Z17)</f>
        <v>76.5</v>
      </c>
      <c r="AB33" s="97">
        <f t="shared" si="4"/>
        <v>85.5</v>
      </c>
      <c r="AC33" s="97">
        <f t="shared" si="5"/>
        <v>85.5</v>
      </c>
      <c r="AD33" s="116">
        <f t="shared" si="6"/>
        <v>0.5</v>
      </c>
    </row>
    <row r="34" spans="2:30" x14ac:dyDescent="0.25">
      <c r="B34" s="102"/>
      <c r="C34" s="102"/>
      <c r="D34" s="102"/>
      <c r="E34" s="102"/>
      <c r="F34" s="102"/>
      <c r="G34" s="102"/>
      <c r="H34" s="102"/>
      <c r="I34" s="102"/>
    </row>
    <row r="35" spans="2:30" x14ac:dyDescent="0.25">
      <c r="B35" s="102"/>
      <c r="C35" s="102"/>
      <c r="D35" s="102"/>
      <c r="E35" s="102"/>
      <c r="F35" s="102"/>
      <c r="G35" s="102"/>
      <c r="H35" s="102"/>
      <c r="I35" s="103">
        <f>SUMPRODUCT(B29:I29,B32:I32)/100</f>
        <v>87.785620006979755</v>
      </c>
      <c r="K35" s="104" t="s">
        <v>92</v>
      </c>
      <c r="T35" s="98">
        <f>+SUM(T21:T33)</f>
        <v>1095</v>
      </c>
      <c r="V35" s="98">
        <f>+SUM(V21:V33)</f>
        <v>4264.5</v>
      </c>
      <c r="X35" s="98">
        <f>+SUM(X21:X33)</f>
        <v>4669.5</v>
      </c>
      <c r="Z35" s="98">
        <f>+SUM(Z21:Z33)</f>
        <v>5365</v>
      </c>
      <c r="AD35" s="98">
        <f>+SUM(AD21:AD33)</f>
        <v>4270</v>
      </c>
    </row>
    <row r="36" spans="2:30" x14ac:dyDescent="0.25">
      <c r="B36" s="102"/>
      <c r="C36" s="102"/>
      <c r="D36" s="102"/>
      <c r="E36" s="102"/>
      <c r="F36" s="102"/>
      <c r="G36" s="102"/>
      <c r="H36" s="102"/>
      <c r="I36" s="103"/>
      <c r="Z36" s="98">
        <f>+AVERAGE(V35:Z35)</f>
        <v>4766.333333333333</v>
      </c>
      <c r="AD36" s="98">
        <f>+AD35+T35</f>
        <v>5365</v>
      </c>
    </row>
    <row r="37" spans="2:30" x14ac:dyDescent="0.25">
      <c r="B37" s="102"/>
      <c r="C37" s="102"/>
      <c r="D37" s="102"/>
      <c r="E37" s="102"/>
      <c r="F37" s="102"/>
      <c r="G37" s="102"/>
      <c r="H37" s="102"/>
      <c r="I37" s="102"/>
    </row>
    <row r="38" spans="2:30" x14ac:dyDescent="0.25">
      <c r="B38" s="105">
        <f>100-SUM(C38:I38)</f>
        <v>34.221311475409863</v>
      </c>
      <c r="C38" s="106">
        <f t="shared" ref="C38:G38" si="14">+B29</f>
        <v>4.6315789473684212</v>
      </c>
      <c r="D38" s="106">
        <f t="shared" si="14"/>
        <v>6.1052631578947363</v>
      </c>
      <c r="E38" s="106">
        <f t="shared" si="14"/>
        <v>23.578947368421051</v>
      </c>
      <c r="F38" s="106">
        <f t="shared" si="14"/>
        <v>16.210526315789473</v>
      </c>
      <c r="G38" s="106">
        <f t="shared" si="14"/>
        <v>7.1578947368421044</v>
      </c>
      <c r="H38" s="106">
        <f>+G29</f>
        <v>6.5263157894736841</v>
      </c>
      <c r="I38" s="107">
        <f>+SUM(H29:I29)-100*B48</f>
        <v>1.568162208800679</v>
      </c>
      <c r="J38" s="82"/>
      <c r="K38" s="108" t="s">
        <v>93</v>
      </c>
      <c r="L38" s="83"/>
      <c r="M38" s="83"/>
      <c r="N38" s="83"/>
      <c r="O38" s="83"/>
      <c r="P38" s="83"/>
      <c r="Q38" s="84"/>
    </row>
    <row r="39" spans="2:30" x14ac:dyDescent="0.25">
      <c r="B39" s="91"/>
      <c r="C39" s="92"/>
      <c r="D39" s="92"/>
      <c r="E39" s="92"/>
      <c r="F39" s="92"/>
      <c r="G39" s="92"/>
      <c r="H39" s="92"/>
      <c r="I39" s="93"/>
      <c r="J39" s="94"/>
      <c r="K39" s="95" t="s">
        <v>94</v>
      </c>
      <c r="L39" s="95"/>
      <c r="M39" s="95"/>
      <c r="N39" s="95"/>
      <c r="O39" s="95"/>
      <c r="P39" s="95"/>
      <c r="Q39" s="96"/>
    </row>
    <row r="40" spans="2:30" x14ac:dyDescent="0.25">
      <c r="B40" s="102"/>
      <c r="C40" s="102"/>
      <c r="D40" s="102"/>
      <c r="E40" s="102"/>
      <c r="F40" s="102"/>
      <c r="G40" s="102"/>
      <c r="H40" s="102"/>
      <c r="I40" s="102"/>
    </row>
    <row r="41" spans="2:30" x14ac:dyDescent="0.25">
      <c r="B41" s="102"/>
      <c r="C41" s="102"/>
      <c r="D41" s="102"/>
      <c r="E41" s="102"/>
      <c r="F41" s="102"/>
      <c r="G41" s="102"/>
      <c r="H41" s="102"/>
      <c r="I41" s="103">
        <f>SUMPRODUCT(B38:I38,B32:I32)/100</f>
        <v>78.184216950535429</v>
      </c>
      <c r="K41" s="104" t="s">
        <v>95</v>
      </c>
    </row>
    <row r="42" spans="2:30" x14ac:dyDescent="0.25">
      <c r="B42" s="102"/>
      <c r="C42" s="102"/>
      <c r="D42" s="102"/>
      <c r="E42" s="102"/>
      <c r="F42" s="102"/>
      <c r="G42" s="102"/>
      <c r="H42" s="102"/>
      <c r="I42" s="103"/>
    </row>
    <row r="43" spans="2:30" x14ac:dyDescent="0.25">
      <c r="B43" s="102"/>
      <c r="C43" s="102"/>
      <c r="D43" s="102"/>
      <c r="E43" s="102"/>
      <c r="F43" s="102"/>
      <c r="G43" s="102"/>
      <c r="H43" s="102"/>
      <c r="I43" s="109">
        <f>+(100-I41)/(100-I35)</f>
        <v>1.7860737149106978</v>
      </c>
      <c r="J43" s="110"/>
      <c r="K43" s="111" t="s">
        <v>96</v>
      </c>
      <c r="L43" s="111"/>
      <c r="M43" s="112"/>
    </row>
    <row r="44" spans="2:30" x14ac:dyDescent="0.25">
      <c r="B44" s="102"/>
      <c r="C44" s="102"/>
      <c r="D44" s="102"/>
      <c r="E44" s="102"/>
      <c r="F44" s="102"/>
      <c r="G44" s="102"/>
      <c r="H44" s="102"/>
      <c r="I44" s="113"/>
    </row>
    <row r="45" spans="2:30" x14ac:dyDescent="0.25">
      <c r="B45" s="102"/>
      <c r="C45" s="102"/>
      <c r="D45" s="102"/>
      <c r="E45" s="102"/>
      <c r="F45" s="102"/>
      <c r="G45" s="102"/>
      <c r="H45" s="102"/>
      <c r="I45" s="115">
        <f>1-1/I43</f>
        <v>0.44011269431284405</v>
      </c>
      <c r="J45" s="110"/>
      <c r="K45" s="111" t="s">
        <v>97</v>
      </c>
      <c r="L45" s="111"/>
      <c r="M45" s="112"/>
      <c r="U45" s="98"/>
    </row>
    <row r="46" spans="2:30" x14ac:dyDescent="0.25">
      <c r="B46" s="102"/>
      <c r="C46" s="102"/>
      <c r="D46" s="102"/>
      <c r="E46" s="102"/>
      <c r="F46" s="102"/>
      <c r="G46" s="102"/>
      <c r="H46" s="102"/>
      <c r="I46" s="103"/>
      <c r="U46" s="98"/>
    </row>
    <row r="47" spans="2:30" x14ac:dyDescent="0.25">
      <c r="B47" s="102"/>
      <c r="C47" s="102"/>
      <c r="D47" s="102"/>
      <c r="E47" s="102"/>
      <c r="F47" s="102"/>
      <c r="G47" s="102"/>
      <c r="H47" s="102"/>
      <c r="I47" s="103"/>
      <c r="U47" s="98"/>
    </row>
    <row r="48" spans="2:30" x14ac:dyDescent="0.25">
      <c r="B48" s="117">
        <v>0.34221311475409838</v>
      </c>
      <c r="C48" s="118" t="s">
        <v>98</v>
      </c>
      <c r="D48" s="102"/>
      <c r="E48" s="102"/>
      <c r="F48" s="102"/>
      <c r="G48" s="102"/>
      <c r="H48" s="102"/>
      <c r="I48" s="102"/>
      <c r="U48" s="98"/>
    </row>
    <row r="49" spans="2:22" x14ac:dyDescent="0.25">
      <c r="B49" s="102"/>
      <c r="C49" s="102"/>
      <c r="D49" s="102"/>
      <c r="E49" s="102"/>
      <c r="F49" s="102"/>
      <c r="G49" s="102"/>
      <c r="H49" s="102"/>
      <c r="U49" s="98"/>
    </row>
    <row r="50" spans="2:22" x14ac:dyDescent="0.25">
      <c r="U50" s="98"/>
    </row>
    <row r="51" spans="2:22" x14ac:dyDescent="0.25">
      <c r="U51" s="98"/>
    </row>
    <row r="52" spans="2:22" ht="15" customHeight="1" x14ac:dyDescent="0.25">
      <c r="U52" s="98"/>
    </row>
    <row r="53" spans="2:22" x14ac:dyDescent="0.25">
      <c r="U53" s="98"/>
    </row>
    <row r="55" spans="2:22" x14ac:dyDescent="0.25">
      <c r="N55" s="117">
        <f>+B29/100</f>
        <v>4.6315789473684213E-2</v>
      </c>
      <c r="O55" s="117">
        <f t="shared" ref="O55:V55" si="15">+C29/100</f>
        <v>6.1052631578947365E-2</v>
      </c>
      <c r="P55" s="117">
        <f t="shared" si="15"/>
        <v>0.23578947368421052</v>
      </c>
      <c r="Q55" s="117">
        <f t="shared" si="15"/>
        <v>0.16210526315789472</v>
      </c>
      <c r="R55" s="117">
        <f t="shared" si="15"/>
        <v>7.1578947368421048E-2</v>
      </c>
      <c r="S55" s="117">
        <f t="shared" si="15"/>
        <v>6.5263157894736842E-2</v>
      </c>
      <c r="T55" s="117">
        <f t="shared" si="15"/>
        <v>0.12210526315789473</v>
      </c>
      <c r="U55" s="117">
        <f t="shared" si="15"/>
        <v>0.23578947368421052</v>
      </c>
      <c r="V55" s="30">
        <f t="shared" si="15"/>
        <v>0</v>
      </c>
    </row>
    <row r="60" spans="2:22" x14ac:dyDescent="0.25">
      <c r="L60" s="30" t="s">
        <v>124</v>
      </c>
    </row>
    <row r="61" spans="2:22" x14ac:dyDescent="0.25">
      <c r="L61" s="30" t="s">
        <v>125</v>
      </c>
      <c r="M61" s="30" t="s">
        <v>126</v>
      </c>
    </row>
    <row r="62" spans="2:22" x14ac:dyDescent="0.25">
      <c r="L62" s="30" t="s">
        <v>127</v>
      </c>
      <c r="M62" s="41">
        <v>0</v>
      </c>
    </row>
    <row r="63" spans="2:22" x14ac:dyDescent="0.25">
      <c r="L63" s="30" t="s">
        <v>128</v>
      </c>
      <c r="M63" s="41">
        <v>0</v>
      </c>
    </row>
    <row r="64" spans="2:22" x14ac:dyDescent="0.25">
      <c r="L64" s="30" t="s">
        <v>129</v>
      </c>
      <c r="M64" s="41">
        <v>0</v>
      </c>
    </row>
    <row r="65" spans="12:13" x14ac:dyDescent="0.25">
      <c r="L65" s="30" t="s">
        <v>130</v>
      </c>
      <c r="M65" s="41">
        <v>0</v>
      </c>
    </row>
    <row r="66" spans="12:13" x14ac:dyDescent="0.25">
      <c r="L66" s="30" t="s">
        <v>131</v>
      </c>
      <c r="M66" s="41">
        <v>0</v>
      </c>
    </row>
    <row r="67" spans="12:13" x14ac:dyDescent="0.25">
      <c r="L67" s="30" t="s">
        <v>132</v>
      </c>
      <c r="M67" s="41">
        <v>0</v>
      </c>
    </row>
    <row r="68" spans="12:13" x14ac:dyDescent="0.25">
      <c r="L68" s="30" t="s">
        <v>133</v>
      </c>
      <c r="M68" s="41">
        <v>0</v>
      </c>
    </row>
    <row r="69" spans="12:13" x14ac:dyDescent="0.25">
      <c r="L69" s="30" t="s">
        <v>134</v>
      </c>
      <c r="M69" s="41">
        <v>0</v>
      </c>
    </row>
    <row r="70" spans="12:13" x14ac:dyDescent="0.25">
      <c r="L70" s="30" t="s">
        <v>135</v>
      </c>
      <c r="M70" s="41">
        <v>0</v>
      </c>
    </row>
    <row r="71" spans="12:13" x14ac:dyDescent="0.25">
      <c r="L71" s="30" t="s">
        <v>136</v>
      </c>
      <c r="M71" s="41">
        <v>0</v>
      </c>
    </row>
    <row r="72" spans="12:13" x14ac:dyDescent="0.25">
      <c r="L72" s="30" t="s">
        <v>137</v>
      </c>
      <c r="M72" s="41">
        <v>0</v>
      </c>
    </row>
    <row r="73" spans="12:13" x14ac:dyDescent="0.25">
      <c r="L73" s="30" t="s">
        <v>138</v>
      </c>
      <c r="M73" s="41">
        <v>0</v>
      </c>
    </row>
    <row r="74" spans="12:13" x14ac:dyDescent="0.25">
      <c r="L74" s="30" t="s">
        <v>139</v>
      </c>
      <c r="M74" s="41">
        <v>0</v>
      </c>
    </row>
    <row r="75" spans="12:13" x14ac:dyDescent="0.25">
      <c r="L75" s="30" t="s">
        <v>140</v>
      </c>
      <c r="M75" s="41">
        <v>0</v>
      </c>
    </row>
    <row r="76" spans="12:13" x14ac:dyDescent="0.25">
      <c r="L76" s="30" t="s">
        <v>141</v>
      </c>
      <c r="M76" s="41">
        <v>0</v>
      </c>
    </row>
    <row r="77" spans="12:13" x14ac:dyDescent="0.25">
      <c r="L77" s="30" t="s">
        <v>142</v>
      </c>
      <c r="M77" s="41">
        <v>0</v>
      </c>
    </row>
    <row r="78" spans="12:13" x14ac:dyDescent="0.25">
      <c r="L78" s="30" t="s">
        <v>143</v>
      </c>
      <c r="M78" s="41">
        <v>0</v>
      </c>
    </row>
    <row r="79" spans="12:13" x14ac:dyDescent="0.25">
      <c r="L79" s="30" t="s">
        <v>144</v>
      </c>
      <c r="M79" s="41">
        <v>0</v>
      </c>
    </row>
    <row r="80" spans="12:13" x14ac:dyDescent="0.25">
      <c r="L80" s="30" t="s">
        <v>145</v>
      </c>
      <c r="M80" s="41">
        <v>0</v>
      </c>
    </row>
    <row r="81" spans="12:13" x14ac:dyDescent="0.25">
      <c r="L81" s="30" t="s">
        <v>146</v>
      </c>
      <c r="M81" s="41">
        <v>0</v>
      </c>
    </row>
    <row r="82" spans="12:13" x14ac:dyDescent="0.25">
      <c r="L82" s="30" t="s">
        <v>147</v>
      </c>
      <c r="M82" s="41">
        <v>0</v>
      </c>
    </row>
    <row r="83" spans="12:13" x14ac:dyDescent="0.25">
      <c r="L83" s="30" t="s">
        <v>148</v>
      </c>
      <c r="M83" s="41">
        <v>0</v>
      </c>
    </row>
    <row r="84" spans="12:13" x14ac:dyDescent="0.25">
      <c r="L84" s="30" t="s">
        <v>149</v>
      </c>
      <c r="M84" s="41">
        <v>0</v>
      </c>
    </row>
    <row r="85" spans="12:13" x14ac:dyDescent="0.25">
      <c r="L85" s="30" t="s">
        <v>150</v>
      </c>
      <c r="M85" s="41">
        <v>0</v>
      </c>
    </row>
    <row r="86" spans="12:13" x14ac:dyDescent="0.25">
      <c r="L86" s="30" t="s">
        <v>151</v>
      </c>
      <c r="M86" s="41">
        <v>1.4722119985277881E-2</v>
      </c>
    </row>
    <row r="87" spans="12:13" x14ac:dyDescent="0.25">
      <c r="L87" s="30" t="s">
        <v>152</v>
      </c>
      <c r="M87" s="41">
        <v>1.6365471751293274E-2</v>
      </c>
    </row>
    <row r="88" spans="12:13" x14ac:dyDescent="0.25">
      <c r="L88" s="30" t="s">
        <v>153</v>
      </c>
      <c r="M88" s="41">
        <v>1.7498636112554797E-2</v>
      </c>
    </row>
    <row r="89" spans="12:13" x14ac:dyDescent="0.25">
      <c r="L89" s="30" t="s">
        <v>154</v>
      </c>
      <c r="M89" s="41">
        <v>2.287831641214921E-2</v>
      </c>
    </row>
    <row r="90" spans="12:13" x14ac:dyDescent="0.25">
      <c r="L90" s="30" t="s">
        <v>155</v>
      </c>
      <c r="M90" s="41">
        <v>2.3817526687518804E-2</v>
      </c>
    </row>
    <row r="91" spans="12:13" x14ac:dyDescent="0.25">
      <c r="L91" s="30" t="s">
        <v>156</v>
      </c>
      <c r="M91" s="41">
        <v>2.4242610837065231E-2</v>
      </c>
    </row>
    <row r="92" spans="12:13" x14ac:dyDescent="0.25">
      <c r="L92" s="30" t="s">
        <v>157</v>
      </c>
      <c r="M92" s="41">
        <v>2.4777957086676194E-2</v>
      </c>
    </row>
    <row r="93" spans="12:13" x14ac:dyDescent="0.25">
      <c r="L93" s="30" t="s">
        <v>158</v>
      </c>
      <c r="M93" s="41">
        <v>3.0590606102079507E-2</v>
      </c>
    </row>
    <row r="94" spans="12:13" x14ac:dyDescent="0.25">
      <c r="L94" s="30" t="s">
        <v>159</v>
      </c>
      <c r="M94" s="41">
        <v>3.0591115832761466E-2</v>
      </c>
    </row>
    <row r="95" spans="12:13" x14ac:dyDescent="0.25">
      <c r="L95" s="30" t="s">
        <v>160</v>
      </c>
      <c r="M95" s="41">
        <v>3.2268140763536332E-2</v>
      </c>
    </row>
    <row r="96" spans="12:13" x14ac:dyDescent="0.25">
      <c r="L96" s="30" t="s">
        <v>161</v>
      </c>
      <c r="M96" s="41">
        <v>3.4880603745699373E-2</v>
      </c>
    </row>
    <row r="97" spans="12:20" x14ac:dyDescent="0.25">
      <c r="L97" s="30" t="s">
        <v>162</v>
      </c>
      <c r="M97" s="41">
        <v>3.5453593541674128E-2</v>
      </c>
    </row>
    <row r="98" spans="12:20" x14ac:dyDescent="0.25">
      <c r="L98" s="30" t="s">
        <v>163</v>
      </c>
      <c r="M98" s="41">
        <v>3.6334804806128169E-2</v>
      </c>
    </row>
    <row r="99" spans="12:20" x14ac:dyDescent="0.25">
      <c r="L99" s="30" t="s">
        <v>164</v>
      </c>
      <c r="M99" s="41">
        <v>4.000678728481883E-2</v>
      </c>
    </row>
    <row r="100" spans="12:20" x14ac:dyDescent="0.25">
      <c r="L100" s="30" t="s">
        <v>165</v>
      </c>
      <c r="M100" s="41">
        <v>4.1010866177586112E-2</v>
      </c>
      <c r="S100" s="30" t="s">
        <v>181</v>
      </c>
    </row>
    <row r="101" spans="12:20" x14ac:dyDescent="0.25">
      <c r="L101" s="30" t="s">
        <v>166</v>
      </c>
      <c r="M101" s="41">
        <v>4.7962143671848388E-2</v>
      </c>
      <c r="P101" s="30" t="s">
        <v>182</v>
      </c>
      <c r="S101" s="119">
        <v>20900000</v>
      </c>
      <c r="T101" s="41"/>
    </row>
    <row r="102" spans="12:20" x14ac:dyDescent="0.25">
      <c r="L102" s="30" t="s">
        <v>167</v>
      </c>
      <c r="M102" s="41">
        <v>5.184723802374816E-2</v>
      </c>
      <c r="P102" s="30" t="s">
        <v>150</v>
      </c>
      <c r="S102" s="119">
        <v>3600000</v>
      </c>
      <c r="T102" s="41"/>
    </row>
    <row r="103" spans="12:20" x14ac:dyDescent="0.25">
      <c r="L103" s="30" t="s">
        <v>168</v>
      </c>
      <c r="M103" s="41">
        <v>6.2262953262625445E-2</v>
      </c>
      <c r="S103" s="41">
        <v>0</v>
      </c>
      <c r="T103" s="30" t="s">
        <v>192</v>
      </c>
    </row>
    <row r="104" spans="12:20" x14ac:dyDescent="0.25">
      <c r="L104" s="30" t="s">
        <v>169</v>
      </c>
      <c r="M104" s="41">
        <v>6.3522569954210309E-2</v>
      </c>
      <c r="S104" s="30">
        <v>0.16969999999999999</v>
      </c>
      <c r="T104" s="30" t="s">
        <v>183</v>
      </c>
    </row>
    <row r="105" spans="12:20" x14ac:dyDescent="0.25">
      <c r="L105" s="30" t="s">
        <v>170</v>
      </c>
      <c r="M105" s="41">
        <v>7.0489403345617402E-2</v>
      </c>
      <c r="S105" s="41">
        <f>+S104-S103</f>
        <v>0.16969999999999999</v>
      </c>
      <c r="T105" s="30" t="s">
        <v>184</v>
      </c>
    </row>
    <row r="106" spans="12:20" x14ac:dyDescent="0.25">
      <c r="L106" s="30" t="s">
        <v>171</v>
      </c>
      <c r="M106" s="41">
        <v>8.701828580503336E-2</v>
      </c>
      <c r="S106" s="30">
        <f>+S105*(S102)/1000000</f>
        <v>0.61092000000000002</v>
      </c>
      <c r="T106" s="30" t="s">
        <v>185</v>
      </c>
    </row>
    <row r="107" spans="12:20" x14ac:dyDescent="0.25">
      <c r="L107" s="30" t="s">
        <v>172</v>
      </c>
      <c r="M107" s="41">
        <v>9.8142332487967998E-2</v>
      </c>
      <c r="S107" s="30">
        <f>+Reference!L6</f>
        <v>5.7735026918962602E-2</v>
      </c>
      <c r="T107" s="30" t="s">
        <v>186</v>
      </c>
    </row>
    <row r="108" spans="12:20" x14ac:dyDescent="0.25">
      <c r="L108" s="30" t="s">
        <v>173</v>
      </c>
      <c r="M108" s="41">
        <v>0.10552159137956132</v>
      </c>
      <c r="S108" s="30">
        <f>+S106/S107</f>
        <v>10.581444793599781</v>
      </c>
      <c r="T108" s="30" t="s">
        <v>187</v>
      </c>
    </row>
    <row r="109" spans="12:20" x14ac:dyDescent="0.25">
      <c r="L109" s="30" t="s">
        <v>174</v>
      </c>
      <c r="M109" s="41">
        <v>0.11393686240041669</v>
      </c>
      <c r="S109" s="30">
        <f>+S108/3</f>
        <v>3.5271482645332601</v>
      </c>
    </row>
    <row r="110" spans="12:20" x14ac:dyDescent="0.25">
      <c r="L110" s="30" t="s">
        <v>175</v>
      </c>
      <c r="M110" s="41">
        <v>0.14942475020010773</v>
      </c>
    </row>
    <row r="111" spans="12:20" x14ac:dyDescent="0.25">
      <c r="L111" s="30" t="s">
        <v>176</v>
      </c>
      <c r="M111" s="41">
        <v>0.15150514681921887</v>
      </c>
    </row>
    <row r="112" spans="12:20" x14ac:dyDescent="0.25">
      <c r="L112" s="30" t="s">
        <v>177</v>
      </c>
      <c r="M112" s="41">
        <v>0.16176634178413282</v>
      </c>
    </row>
    <row r="113" spans="12:13" x14ac:dyDescent="0.25">
      <c r="L113" s="30" t="s">
        <v>178</v>
      </c>
      <c r="M113" s="41">
        <v>0.16847473045411984</v>
      </c>
    </row>
    <row r="114" spans="12:13" x14ac:dyDescent="0.25">
      <c r="L114" s="30" t="s">
        <v>179</v>
      </c>
      <c r="M114" s="41">
        <v>0.16968181063252016</v>
      </c>
    </row>
    <row r="115" spans="12:13" x14ac:dyDescent="0.25">
      <c r="L115" s="30" t="s">
        <v>180</v>
      </c>
      <c r="M115" s="41">
        <v>0.25567604004858357</v>
      </c>
    </row>
  </sheetData>
  <sheetProtection algorithmName="SHA-512" hashValue="T3fNa5QsWOEaSOuWyt+8JfzHxJpe166xVQTs0aQPFiXUE1iJYYBHDhSVoTm3xldyb9A1QtA3Pk4xvqwto5UcGA==" saltValue="ZAX6yGZ9ofwhwpnS2EkZs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48"/>
  <sheetViews>
    <sheetView workbookViewId="0"/>
  </sheetViews>
  <sheetFormatPr defaultRowHeight="15" x14ac:dyDescent="0.25"/>
  <cols>
    <col min="1" max="1" width="9.140625" style="3"/>
    <col min="2" max="2" width="77.7109375" style="3" bestFit="1" customWidth="1"/>
    <col min="3" max="3" width="14.42578125" style="3" bestFit="1" customWidth="1"/>
    <col min="4" max="4" width="23.42578125" style="3" bestFit="1" customWidth="1"/>
    <col min="5" max="5" width="27" style="3" bestFit="1" customWidth="1"/>
    <col min="6" max="6" width="28.42578125" style="3" bestFit="1" customWidth="1"/>
    <col min="7" max="7" width="25.85546875" style="3" bestFit="1" customWidth="1"/>
    <col min="8" max="8" width="22.28515625" style="3" bestFit="1" customWidth="1"/>
    <col min="9" max="9" width="18.5703125" style="3" bestFit="1" customWidth="1"/>
    <col min="10" max="10" width="9.140625" style="3"/>
    <col min="11" max="11" width="4.7109375" style="3" customWidth="1"/>
    <col min="12" max="12" width="11.5703125" style="3" bestFit="1" customWidth="1"/>
    <col min="13" max="14" width="9.140625" style="3"/>
    <col min="15" max="15" width="4.140625" style="3" customWidth="1"/>
    <col min="16" max="16" width="11.5703125" style="3" bestFit="1" customWidth="1"/>
    <col min="17" max="17" width="9.140625" style="3"/>
    <col min="18" max="35" width="2.7109375" style="8" customWidth="1"/>
    <col min="36" max="16384" width="9.140625" style="3"/>
  </cols>
  <sheetData>
    <row r="1" spans="1:35" x14ac:dyDescent="0.25">
      <c r="B1" s="20" t="s">
        <v>24</v>
      </c>
      <c r="C1" s="20" t="s">
        <v>25</v>
      </c>
      <c r="D1" s="20" t="s">
        <v>26</v>
      </c>
      <c r="E1" s="20" t="s">
        <v>27</v>
      </c>
      <c r="F1" s="20" t="s">
        <v>28</v>
      </c>
      <c r="G1" s="20" t="s">
        <v>29</v>
      </c>
      <c r="H1" s="20" t="s">
        <v>30</v>
      </c>
      <c r="I1" s="21" t="s">
        <v>31</v>
      </c>
      <c r="K1" s="136" t="s">
        <v>23</v>
      </c>
      <c r="L1" s="136"/>
      <c r="O1" s="136" t="s">
        <v>32</v>
      </c>
      <c r="P1" s="136"/>
    </row>
    <row r="2" spans="1:35" x14ac:dyDescent="0.25">
      <c r="A2" s="3">
        <v>1</v>
      </c>
      <c r="B2" s="4" t="s">
        <v>38</v>
      </c>
      <c r="C2" s="5">
        <v>0.182574185835055</v>
      </c>
      <c r="D2" s="4">
        <v>4</v>
      </c>
      <c r="E2" s="4">
        <v>6</v>
      </c>
      <c r="F2" s="4">
        <v>5</v>
      </c>
      <c r="G2" s="4">
        <v>5</v>
      </c>
      <c r="H2" s="6">
        <v>44548.101343753427</v>
      </c>
      <c r="I2" s="7">
        <f t="shared" ref="I2:I29" si="0">($K$11*$C2*10^$D2)+($K$12*$C2*10^$E2)+($K$13*$C2*10^$F2)+($K$14*$C2*10^$G2)</f>
        <v>44548.101343753427</v>
      </c>
      <c r="K2" s="22">
        <v>7</v>
      </c>
      <c r="L2" s="23">
        <v>31.6227766016838</v>
      </c>
      <c r="M2" s="3">
        <v>7</v>
      </c>
      <c r="O2" s="22">
        <v>7</v>
      </c>
      <c r="P2" s="24">
        <f>10^O2</f>
        <v>10000000</v>
      </c>
    </row>
    <row r="3" spans="1:35" x14ac:dyDescent="0.25">
      <c r="A3" s="3" t="s">
        <v>74</v>
      </c>
      <c r="B3" s="4" t="s">
        <v>72</v>
      </c>
      <c r="C3" s="5">
        <v>5.7735026918962602E-2</v>
      </c>
      <c r="D3" s="4">
        <v>4</v>
      </c>
      <c r="E3" s="4">
        <v>5</v>
      </c>
      <c r="F3" s="4">
        <v>4</v>
      </c>
      <c r="G3" s="4">
        <v>5</v>
      </c>
      <c r="H3" s="6">
        <v>2655.8112382722798</v>
      </c>
      <c r="I3" s="7">
        <f t="shared" si="0"/>
        <v>2655.8112382722798</v>
      </c>
      <c r="K3" s="22">
        <v>6</v>
      </c>
      <c r="L3" s="23">
        <v>3.16227766016838</v>
      </c>
      <c r="M3" s="3">
        <v>6</v>
      </c>
      <c r="O3" s="22">
        <v>6</v>
      </c>
      <c r="P3" s="24">
        <f t="shared" ref="P3:P8" si="1">10^O3</f>
        <v>1000000</v>
      </c>
    </row>
    <row r="4" spans="1:35" ht="18" x14ac:dyDescent="0.25">
      <c r="A4" s="3">
        <v>3</v>
      </c>
      <c r="B4" s="4" t="s">
        <v>39</v>
      </c>
      <c r="C4" s="5">
        <v>0.57735026918962595</v>
      </c>
      <c r="D4" s="4">
        <v>6</v>
      </c>
      <c r="E4" s="4">
        <v>4</v>
      </c>
      <c r="F4" s="4">
        <v>3</v>
      </c>
      <c r="G4" s="4">
        <v>4</v>
      </c>
      <c r="H4" s="6">
        <v>233364.97880644683</v>
      </c>
      <c r="I4" s="7">
        <f t="shared" si="0"/>
        <v>233364.97880644683</v>
      </c>
      <c r="K4" s="22">
        <v>5</v>
      </c>
      <c r="L4" s="23">
        <v>0.57735026918962595</v>
      </c>
      <c r="M4" s="3">
        <v>5</v>
      </c>
      <c r="O4" s="22">
        <v>5</v>
      </c>
      <c r="P4" s="24">
        <f t="shared" si="1"/>
        <v>100000</v>
      </c>
      <c r="T4" s="9" t="s">
        <v>36</v>
      </c>
      <c r="U4" s="25"/>
    </row>
    <row r="5" spans="1:35" x14ac:dyDescent="0.25">
      <c r="A5" s="3">
        <v>4</v>
      </c>
      <c r="B5" s="4" t="s">
        <v>41</v>
      </c>
      <c r="C5" s="5">
        <v>5.7735026918962602E-2</v>
      </c>
      <c r="D5" s="4">
        <v>5</v>
      </c>
      <c r="E5" s="4">
        <v>5</v>
      </c>
      <c r="F5" s="4">
        <v>5</v>
      </c>
      <c r="G5" s="4">
        <v>4</v>
      </c>
      <c r="H5" s="6">
        <v>4734.2722073549339</v>
      </c>
      <c r="I5" s="7">
        <f t="shared" si="0"/>
        <v>4734.2722073549339</v>
      </c>
      <c r="K5" s="22">
        <v>4</v>
      </c>
      <c r="L5" s="23">
        <v>0.182574185835055</v>
      </c>
      <c r="M5" s="3">
        <v>4</v>
      </c>
      <c r="O5" s="22">
        <v>4</v>
      </c>
      <c r="P5" s="24">
        <f t="shared" si="1"/>
        <v>10000</v>
      </c>
      <c r="T5" s="135" t="s">
        <v>17</v>
      </c>
      <c r="U5" s="135"/>
      <c r="V5" s="135"/>
      <c r="W5" s="135"/>
      <c r="X5" s="135"/>
      <c r="Y5" s="135"/>
      <c r="Z5" s="135"/>
      <c r="AC5" s="135" t="s">
        <v>19</v>
      </c>
      <c r="AD5" s="135"/>
      <c r="AE5" s="135"/>
      <c r="AF5" s="135"/>
      <c r="AG5" s="135"/>
      <c r="AH5" s="135"/>
      <c r="AI5" s="135"/>
    </row>
    <row r="6" spans="1:35" x14ac:dyDescent="0.25">
      <c r="A6" s="3">
        <v>5</v>
      </c>
      <c r="B6" s="4" t="s">
        <v>42</v>
      </c>
      <c r="C6" s="5">
        <v>0.57735026918962595</v>
      </c>
      <c r="D6" s="4">
        <v>4</v>
      </c>
      <c r="E6" s="4">
        <v>4</v>
      </c>
      <c r="F6" s="4">
        <v>4</v>
      </c>
      <c r="G6" s="4">
        <v>4</v>
      </c>
      <c r="H6" s="6">
        <v>5773.5026918962594</v>
      </c>
      <c r="I6" s="7">
        <f t="shared" si="0"/>
        <v>5773.5026918962594</v>
      </c>
      <c r="K6" s="22">
        <v>3</v>
      </c>
      <c r="L6" s="23">
        <v>5.7735026918962602E-2</v>
      </c>
      <c r="M6" s="3">
        <v>3</v>
      </c>
      <c r="O6" s="22">
        <v>3</v>
      </c>
      <c r="P6" s="24">
        <f t="shared" si="1"/>
        <v>1000</v>
      </c>
      <c r="R6" s="133" t="s">
        <v>1</v>
      </c>
      <c r="S6" s="26">
        <v>7</v>
      </c>
      <c r="T6" s="27" t="s">
        <v>76</v>
      </c>
      <c r="U6" s="27" t="s">
        <v>76</v>
      </c>
      <c r="V6" s="27" t="s">
        <v>76</v>
      </c>
      <c r="W6" s="27" t="s">
        <v>76</v>
      </c>
      <c r="X6" s="27" t="s">
        <v>76</v>
      </c>
      <c r="Y6" s="27" t="s">
        <v>76</v>
      </c>
      <c r="Z6" s="27" t="s">
        <v>76</v>
      </c>
      <c r="AB6" s="26">
        <v>7</v>
      </c>
      <c r="AC6" s="27" t="s">
        <v>76</v>
      </c>
      <c r="AD6" s="27" t="s">
        <v>76</v>
      </c>
      <c r="AE6" s="27" t="s">
        <v>76</v>
      </c>
      <c r="AF6" s="27" t="s">
        <v>76</v>
      </c>
      <c r="AG6" s="27" t="s">
        <v>76</v>
      </c>
      <c r="AH6" s="27" t="s">
        <v>76</v>
      </c>
      <c r="AI6" s="27" t="s">
        <v>76</v>
      </c>
    </row>
    <row r="7" spans="1:35" x14ac:dyDescent="0.25">
      <c r="A7" s="3">
        <v>6</v>
      </c>
      <c r="B7" s="4" t="s">
        <v>44</v>
      </c>
      <c r="C7" s="5">
        <v>5.7735026918962602E-2</v>
      </c>
      <c r="D7" s="4">
        <v>6</v>
      </c>
      <c r="E7" s="4">
        <v>1</v>
      </c>
      <c r="F7" s="4">
        <v>2</v>
      </c>
      <c r="G7" s="4">
        <v>3</v>
      </c>
      <c r="H7" s="6">
        <v>23106.827943561053</v>
      </c>
      <c r="I7" s="7">
        <f t="shared" si="0"/>
        <v>23106.827943561053</v>
      </c>
      <c r="K7" s="22">
        <v>2</v>
      </c>
      <c r="L7" s="23">
        <v>1.8257418583505498E-2</v>
      </c>
      <c r="M7" s="3">
        <v>2</v>
      </c>
      <c r="O7" s="22">
        <v>2</v>
      </c>
      <c r="P7" s="24">
        <f t="shared" si="1"/>
        <v>100</v>
      </c>
      <c r="R7" s="133"/>
      <c r="S7" s="26">
        <v>6</v>
      </c>
      <c r="T7" s="27" t="s">
        <v>76</v>
      </c>
      <c r="U7" s="27" t="s">
        <v>76</v>
      </c>
      <c r="V7" s="27" t="s">
        <v>76</v>
      </c>
      <c r="W7" s="27" t="s">
        <v>76</v>
      </c>
      <c r="X7" s="27" t="s">
        <v>76</v>
      </c>
      <c r="Y7" s="27" t="s">
        <v>76</v>
      </c>
      <c r="Z7" s="27" t="s">
        <v>76</v>
      </c>
      <c r="AB7" s="26">
        <v>6</v>
      </c>
      <c r="AC7" s="27" t="s">
        <v>76</v>
      </c>
      <c r="AD7" s="27" t="s">
        <v>76</v>
      </c>
      <c r="AE7" s="27" t="s">
        <v>76</v>
      </c>
      <c r="AF7" s="27" t="s">
        <v>76</v>
      </c>
      <c r="AG7" s="27" t="s">
        <v>76</v>
      </c>
      <c r="AH7" s="27" t="s">
        <v>76</v>
      </c>
      <c r="AI7" s="27" t="s">
        <v>76</v>
      </c>
    </row>
    <row r="8" spans="1:35" x14ac:dyDescent="0.25">
      <c r="A8" s="3">
        <v>7</v>
      </c>
      <c r="B8" s="4" t="s">
        <v>50</v>
      </c>
      <c r="C8" s="5">
        <v>0.182574185835055</v>
      </c>
      <c r="D8" s="4">
        <v>4</v>
      </c>
      <c r="E8" s="4">
        <v>6</v>
      </c>
      <c r="F8" s="4">
        <v>5</v>
      </c>
      <c r="G8" s="4">
        <v>5</v>
      </c>
      <c r="H8" s="6">
        <v>44548.101343753427</v>
      </c>
      <c r="I8" s="7">
        <f t="shared" si="0"/>
        <v>44548.101343753427</v>
      </c>
      <c r="K8" s="22">
        <v>1</v>
      </c>
      <c r="L8" s="23">
        <v>5.4772255750516604E-3</v>
      </c>
      <c r="M8" s="3">
        <v>1</v>
      </c>
      <c r="O8" s="22">
        <v>1</v>
      </c>
      <c r="P8" s="24">
        <f t="shared" si="1"/>
        <v>10</v>
      </c>
      <c r="R8" s="133"/>
      <c r="S8" s="26">
        <v>5</v>
      </c>
      <c r="T8" s="27" t="s">
        <v>76</v>
      </c>
      <c r="U8" s="27" t="s">
        <v>76</v>
      </c>
      <c r="V8" s="27" t="s">
        <v>76</v>
      </c>
      <c r="W8" s="27" t="s">
        <v>76</v>
      </c>
      <c r="X8" s="27" t="s">
        <v>76</v>
      </c>
      <c r="Y8" s="27" t="s">
        <v>76</v>
      </c>
      <c r="Z8" s="27" t="s">
        <v>76</v>
      </c>
      <c r="AB8" s="26">
        <v>5</v>
      </c>
      <c r="AC8" s="27" t="s">
        <v>76</v>
      </c>
      <c r="AD8" s="27" t="s">
        <v>76</v>
      </c>
      <c r="AE8" s="27" t="s">
        <v>76</v>
      </c>
      <c r="AF8" s="27" t="s">
        <v>76</v>
      </c>
      <c r="AG8" s="27" t="s">
        <v>76</v>
      </c>
      <c r="AH8" s="27" t="s">
        <v>76</v>
      </c>
      <c r="AI8" s="27" t="s">
        <v>76</v>
      </c>
    </row>
    <row r="9" spans="1:35" x14ac:dyDescent="0.25">
      <c r="A9" s="3">
        <v>9</v>
      </c>
      <c r="B9" s="4" t="s">
        <v>54</v>
      </c>
      <c r="C9" s="5">
        <v>0.182574185835055</v>
      </c>
      <c r="D9" s="4">
        <v>6</v>
      </c>
      <c r="E9" s="4">
        <v>4</v>
      </c>
      <c r="F9" s="4">
        <v>4</v>
      </c>
      <c r="G9" s="4">
        <v>3</v>
      </c>
      <c r="H9" s="6">
        <v>73796.485914529228</v>
      </c>
      <c r="I9" s="7">
        <f t="shared" si="0"/>
        <v>73796.485914529228</v>
      </c>
      <c r="R9" s="133"/>
      <c r="S9" s="26">
        <v>4</v>
      </c>
      <c r="T9" s="27" t="s">
        <v>76</v>
      </c>
      <c r="U9" s="27" t="s">
        <v>76</v>
      </c>
      <c r="V9" s="27" t="s">
        <v>76</v>
      </c>
      <c r="W9" s="27" t="s">
        <v>76</v>
      </c>
      <c r="X9" s="27" t="s">
        <v>76</v>
      </c>
      <c r="Y9" s="27" t="s">
        <v>76</v>
      </c>
      <c r="Z9" s="27" t="s">
        <v>76</v>
      </c>
      <c r="AB9" s="26">
        <v>4</v>
      </c>
      <c r="AC9" s="27" t="s">
        <v>76</v>
      </c>
      <c r="AD9" s="27" t="s">
        <v>76</v>
      </c>
      <c r="AE9" s="27" t="s">
        <v>76</v>
      </c>
      <c r="AF9" s="27" t="s">
        <v>76</v>
      </c>
      <c r="AG9" s="27" t="s">
        <v>76</v>
      </c>
      <c r="AH9" s="27" t="s">
        <v>76</v>
      </c>
      <c r="AI9" s="27" t="s">
        <v>76</v>
      </c>
    </row>
    <row r="10" spans="1:35" x14ac:dyDescent="0.25">
      <c r="A10" s="3">
        <v>10</v>
      </c>
      <c r="B10" s="4" t="s">
        <v>58</v>
      </c>
      <c r="C10" s="5">
        <v>5.7735026918962602E-2</v>
      </c>
      <c r="D10" s="4">
        <v>5</v>
      </c>
      <c r="E10" s="4">
        <v>5</v>
      </c>
      <c r="F10" s="4">
        <v>5</v>
      </c>
      <c r="G10" s="4">
        <v>4</v>
      </c>
      <c r="H10" s="6">
        <v>4734.2722073549339</v>
      </c>
      <c r="I10" s="7">
        <f t="shared" si="0"/>
        <v>4734.2722073549339</v>
      </c>
      <c r="K10" s="136" t="s">
        <v>43</v>
      </c>
      <c r="L10" s="136"/>
      <c r="R10" s="133"/>
      <c r="S10" s="26">
        <v>3</v>
      </c>
      <c r="T10" s="27" t="s">
        <v>76</v>
      </c>
      <c r="U10" s="27" t="s">
        <v>76</v>
      </c>
      <c r="V10" s="27" t="s">
        <v>76</v>
      </c>
      <c r="W10" s="27" t="s">
        <v>76</v>
      </c>
      <c r="X10" s="27">
        <v>1</v>
      </c>
      <c r="Y10" s="27" t="s">
        <v>76</v>
      </c>
      <c r="Z10" s="27" t="s">
        <v>76</v>
      </c>
      <c r="AB10" s="26">
        <v>3</v>
      </c>
      <c r="AC10" s="27" t="s">
        <v>76</v>
      </c>
      <c r="AD10" s="27" t="s">
        <v>76</v>
      </c>
      <c r="AE10" s="27">
        <v>1</v>
      </c>
      <c r="AF10" s="27" t="s">
        <v>76</v>
      </c>
      <c r="AG10" s="27" t="s">
        <v>76</v>
      </c>
      <c r="AH10" s="27" t="s">
        <v>76</v>
      </c>
      <c r="AI10" s="27" t="s">
        <v>76</v>
      </c>
    </row>
    <row r="11" spans="1:35" x14ac:dyDescent="0.25">
      <c r="A11" s="3">
        <v>11</v>
      </c>
      <c r="B11" s="4" t="s">
        <v>62</v>
      </c>
      <c r="C11" s="5">
        <v>5.7735026918962602E-2</v>
      </c>
      <c r="D11" s="4">
        <v>4</v>
      </c>
      <c r="E11" s="4">
        <v>3</v>
      </c>
      <c r="F11" s="4">
        <v>3</v>
      </c>
      <c r="G11" s="4">
        <v>2</v>
      </c>
      <c r="H11" s="6">
        <v>255.18881898181468</v>
      </c>
      <c r="I11" s="7">
        <f t="shared" si="0"/>
        <v>255.18881898181468</v>
      </c>
      <c r="K11" s="2">
        <v>0.4</v>
      </c>
      <c r="L11" s="1" t="s">
        <v>17</v>
      </c>
      <c r="R11" s="133"/>
      <c r="S11" s="26">
        <v>2</v>
      </c>
      <c r="T11" s="27" t="s">
        <v>76</v>
      </c>
      <c r="U11" s="27" t="s">
        <v>76</v>
      </c>
      <c r="V11" s="27" t="s">
        <v>76</v>
      </c>
      <c r="W11" s="27" t="s">
        <v>76</v>
      </c>
      <c r="X11" s="27" t="s">
        <v>76</v>
      </c>
      <c r="Y11" s="27" t="s">
        <v>76</v>
      </c>
      <c r="Z11" s="27" t="s">
        <v>76</v>
      </c>
      <c r="AB11" s="26">
        <v>2</v>
      </c>
      <c r="AC11" s="27" t="s">
        <v>76</v>
      </c>
      <c r="AD11" s="27" t="s">
        <v>76</v>
      </c>
      <c r="AE11" s="27" t="s">
        <v>76</v>
      </c>
      <c r="AF11" s="27" t="s">
        <v>76</v>
      </c>
      <c r="AG11" s="27" t="s">
        <v>76</v>
      </c>
      <c r="AH11" s="27" t="s">
        <v>76</v>
      </c>
      <c r="AI11" s="27" t="s">
        <v>76</v>
      </c>
    </row>
    <row r="12" spans="1:35" x14ac:dyDescent="0.25">
      <c r="A12" s="3">
        <v>12</v>
      </c>
      <c r="B12" s="4" t="s">
        <v>63</v>
      </c>
      <c r="C12" s="5">
        <v>5.7735026918962602E-2</v>
      </c>
      <c r="D12" s="4">
        <v>6</v>
      </c>
      <c r="E12" s="4">
        <v>1</v>
      </c>
      <c r="F12" s="4">
        <v>2</v>
      </c>
      <c r="G12" s="4">
        <v>3</v>
      </c>
      <c r="H12" s="6">
        <v>23106.827943561053</v>
      </c>
      <c r="I12" s="7">
        <f t="shared" si="0"/>
        <v>23106.827943561053</v>
      </c>
      <c r="K12" s="2">
        <v>0.2</v>
      </c>
      <c r="L12" s="1" t="s">
        <v>18</v>
      </c>
      <c r="R12" s="133"/>
      <c r="S12" s="26">
        <v>1</v>
      </c>
      <c r="T12" s="27" t="s">
        <v>76</v>
      </c>
      <c r="U12" s="27" t="s">
        <v>76</v>
      </c>
      <c r="V12" s="27" t="s">
        <v>76</v>
      </c>
      <c r="W12" s="27" t="s">
        <v>76</v>
      </c>
      <c r="X12" s="27" t="s">
        <v>76</v>
      </c>
      <c r="Y12" s="27" t="s">
        <v>76</v>
      </c>
      <c r="Z12" s="27" t="s">
        <v>76</v>
      </c>
      <c r="AB12" s="26">
        <v>1</v>
      </c>
      <c r="AC12" s="27" t="s">
        <v>76</v>
      </c>
      <c r="AD12" s="27" t="s">
        <v>76</v>
      </c>
      <c r="AE12" s="27" t="s">
        <v>76</v>
      </c>
      <c r="AF12" s="27" t="s">
        <v>76</v>
      </c>
      <c r="AG12" s="27" t="s">
        <v>76</v>
      </c>
      <c r="AH12" s="27" t="s">
        <v>76</v>
      </c>
      <c r="AI12" s="27" t="s">
        <v>76</v>
      </c>
    </row>
    <row r="13" spans="1:35" x14ac:dyDescent="0.25">
      <c r="A13" s="3">
        <v>13</v>
      </c>
      <c r="B13" s="4" t="s">
        <v>45</v>
      </c>
      <c r="C13" s="5">
        <v>5.7735026918962602E-2</v>
      </c>
      <c r="D13" s="4">
        <v>6</v>
      </c>
      <c r="E13" s="4">
        <v>2</v>
      </c>
      <c r="F13" s="4">
        <v>2</v>
      </c>
      <c r="G13" s="4">
        <v>3</v>
      </c>
      <c r="H13" s="6">
        <v>23107.867174045594</v>
      </c>
      <c r="I13" s="7">
        <f t="shared" si="0"/>
        <v>23107.867174045594</v>
      </c>
      <c r="K13" s="2">
        <v>0.2</v>
      </c>
      <c r="L13" s="1" t="s">
        <v>19</v>
      </c>
      <c r="T13" s="28">
        <v>1</v>
      </c>
      <c r="U13" s="28">
        <v>2</v>
      </c>
      <c r="V13" s="28">
        <v>3</v>
      </c>
      <c r="W13" s="28">
        <v>4</v>
      </c>
      <c r="X13" s="28">
        <v>5</v>
      </c>
      <c r="Y13" s="28">
        <v>6</v>
      </c>
      <c r="Z13" s="28">
        <v>7</v>
      </c>
      <c r="AC13" s="28">
        <v>1</v>
      </c>
      <c r="AD13" s="28">
        <v>2</v>
      </c>
      <c r="AE13" s="28">
        <v>3</v>
      </c>
      <c r="AF13" s="28">
        <v>4</v>
      </c>
      <c r="AG13" s="28">
        <v>5</v>
      </c>
      <c r="AH13" s="28">
        <v>6</v>
      </c>
      <c r="AI13" s="28">
        <v>7</v>
      </c>
    </row>
    <row r="14" spans="1:35" x14ac:dyDescent="0.25">
      <c r="A14" s="3">
        <v>14</v>
      </c>
      <c r="B14" s="4" t="s">
        <v>52</v>
      </c>
      <c r="C14" s="5">
        <v>0.182574185835055</v>
      </c>
      <c r="D14" s="4">
        <v>6</v>
      </c>
      <c r="E14" s="4">
        <v>3</v>
      </c>
      <c r="F14" s="4">
        <v>3</v>
      </c>
      <c r="G14" s="4">
        <v>3</v>
      </c>
      <c r="H14" s="6">
        <v>73139.218845523035</v>
      </c>
      <c r="I14" s="7">
        <f t="shared" si="0"/>
        <v>73139.218845523035</v>
      </c>
      <c r="K14" s="2">
        <v>0.2</v>
      </c>
      <c r="L14" s="1" t="s">
        <v>0</v>
      </c>
      <c r="T14" s="134" t="s">
        <v>48</v>
      </c>
      <c r="U14" s="134"/>
      <c r="V14" s="134"/>
      <c r="W14" s="134"/>
      <c r="X14" s="134"/>
      <c r="Y14" s="134"/>
      <c r="Z14" s="134"/>
      <c r="AC14" s="134" t="s">
        <v>48</v>
      </c>
      <c r="AD14" s="134"/>
      <c r="AE14" s="134"/>
      <c r="AF14" s="134"/>
      <c r="AG14" s="134"/>
      <c r="AH14" s="134"/>
      <c r="AI14" s="134"/>
    </row>
    <row r="15" spans="1:35" x14ac:dyDescent="0.25">
      <c r="A15" s="3">
        <v>15</v>
      </c>
      <c r="B15" s="4" t="s">
        <v>53</v>
      </c>
      <c r="C15" s="5">
        <v>0.182574185835055</v>
      </c>
      <c r="D15" s="4">
        <v>4</v>
      </c>
      <c r="E15" s="4">
        <v>4</v>
      </c>
      <c r="F15" s="4">
        <v>5</v>
      </c>
      <c r="G15" s="4">
        <v>4</v>
      </c>
      <c r="H15" s="6">
        <v>5112.077203381541</v>
      </c>
      <c r="I15" s="7">
        <f t="shared" si="0"/>
        <v>5112.077203381541</v>
      </c>
    </row>
    <row r="16" spans="1:35" x14ac:dyDescent="0.25">
      <c r="A16" s="3">
        <v>16</v>
      </c>
      <c r="B16" s="4" t="s">
        <v>55</v>
      </c>
      <c r="C16" s="5">
        <v>1.8257418583505498E-2</v>
      </c>
      <c r="D16" s="4">
        <v>6</v>
      </c>
      <c r="E16" s="4">
        <v>7</v>
      </c>
      <c r="F16" s="4">
        <v>5</v>
      </c>
      <c r="G16" s="4">
        <v>5</v>
      </c>
      <c r="H16" s="6">
        <v>44548.10134375342</v>
      </c>
      <c r="I16" s="7">
        <f t="shared" si="0"/>
        <v>44548.10134375342</v>
      </c>
      <c r="T16" s="135" t="s">
        <v>18</v>
      </c>
      <c r="U16" s="135"/>
      <c r="V16" s="135"/>
      <c r="W16" s="135"/>
      <c r="X16" s="135"/>
      <c r="Y16" s="135"/>
      <c r="Z16" s="135"/>
      <c r="AC16" s="135" t="s">
        <v>51</v>
      </c>
      <c r="AD16" s="135"/>
      <c r="AE16" s="135"/>
      <c r="AF16" s="135"/>
      <c r="AG16" s="135"/>
      <c r="AH16" s="135"/>
      <c r="AI16" s="135"/>
    </row>
    <row r="17" spans="1:35" x14ac:dyDescent="0.25">
      <c r="A17" s="3">
        <v>17</v>
      </c>
      <c r="B17" s="4" t="s">
        <v>56</v>
      </c>
      <c r="C17" s="5">
        <v>1.8257418583505498E-2</v>
      </c>
      <c r="D17" s="4">
        <v>6</v>
      </c>
      <c r="E17" s="4">
        <v>7</v>
      </c>
      <c r="F17" s="4">
        <v>5</v>
      </c>
      <c r="G17" s="4">
        <v>5</v>
      </c>
      <c r="H17" s="6">
        <v>44548.10134375342</v>
      </c>
      <c r="I17" s="7">
        <f t="shared" si="0"/>
        <v>44548.10134375342</v>
      </c>
      <c r="L17" s="29"/>
      <c r="R17" s="133" t="s">
        <v>1</v>
      </c>
      <c r="S17" s="26">
        <v>7</v>
      </c>
      <c r="T17" s="27" t="s">
        <v>76</v>
      </c>
      <c r="U17" s="27" t="s">
        <v>76</v>
      </c>
      <c r="V17" s="27" t="s">
        <v>76</v>
      </c>
      <c r="W17" s="27" t="s">
        <v>76</v>
      </c>
      <c r="X17" s="27" t="s">
        <v>76</v>
      </c>
      <c r="Y17" s="27" t="s">
        <v>76</v>
      </c>
      <c r="Z17" s="27" t="s">
        <v>76</v>
      </c>
      <c r="AB17" s="26">
        <v>7</v>
      </c>
      <c r="AC17" s="27" t="s">
        <v>76</v>
      </c>
      <c r="AD17" s="27" t="s">
        <v>76</v>
      </c>
      <c r="AE17" s="27" t="s">
        <v>76</v>
      </c>
      <c r="AF17" s="27" t="s">
        <v>76</v>
      </c>
      <c r="AG17" s="27" t="s">
        <v>76</v>
      </c>
      <c r="AH17" s="27" t="s">
        <v>76</v>
      </c>
      <c r="AI17" s="27" t="s">
        <v>76</v>
      </c>
    </row>
    <row r="18" spans="1:35" x14ac:dyDescent="0.25">
      <c r="A18" s="3">
        <v>18</v>
      </c>
      <c r="B18" s="4" t="s">
        <v>57</v>
      </c>
      <c r="C18" s="5">
        <v>5.7735026918962602E-2</v>
      </c>
      <c r="D18" s="4">
        <v>5</v>
      </c>
      <c r="E18" s="4">
        <v>3</v>
      </c>
      <c r="F18" s="4">
        <v>3</v>
      </c>
      <c r="G18" s="4">
        <v>3</v>
      </c>
      <c r="H18" s="6">
        <v>2344.0420929098818</v>
      </c>
      <c r="I18" s="7">
        <f t="shared" si="0"/>
        <v>2344.0420929098818</v>
      </c>
      <c r="L18" s="29"/>
      <c r="R18" s="133"/>
      <c r="S18" s="26">
        <v>6</v>
      </c>
      <c r="T18" s="27" t="s">
        <v>76</v>
      </c>
      <c r="U18" s="27" t="s">
        <v>76</v>
      </c>
      <c r="V18" s="27" t="s">
        <v>76</v>
      </c>
      <c r="W18" s="27" t="s">
        <v>76</v>
      </c>
      <c r="X18" s="27" t="s">
        <v>76</v>
      </c>
      <c r="Y18" s="27" t="s">
        <v>76</v>
      </c>
      <c r="Z18" s="27" t="s">
        <v>76</v>
      </c>
      <c r="AB18" s="26">
        <v>6</v>
      </c>
      <c r="AC18" s="27" t="s">
        <v>76</v>
      </c>
      <c r="AD18" s="27" t="s">
        <v>76</v>
      </c>
      <c r="AE18" s="27" t="s">
        <v>76</v>
      </c>
      <c r="AF18" s="27" t="s">
        <v>76</v>
      </c>
      <c r="AG18" s="27" t="s">
        <v>76</v>
      </c>
      <c r="AH18" s="27" t="s">
        <v>76</v>
      </c>
      <c r="AI18" s="27" t="s">
        <v>76</v>
      </c>
    </row>
    <row r="19" spans="1:35" x14ac:dyDescent="0.25">
      <c r="A19" s="3">
        <v>19</v>
      </c>
      <c r="B19" s="4" t="s">
        <v>73</v>
      </c>
      <c r="C19" s="5">
        <v>1.8257418583505498E-2</v>
      </c>
      <c r="D19" s="4">
        <v>6</v>
      </c>
      <c r="E19" s="4">
        <v>4</v>
      </c>
      <c r="F19" s="4">
        <v>3</v>
      </c>
      <c r="G19" s="4">
        <v>4</v>
      </c>
      <c r="H19" s="6">
        <v>7379.6485914529239</v>
      </c>
      <c r="I19" s="7">
        <f t="shared" si="0"/>
        <v>7379.6485914529239</v>
      </c>
      <c r="L19" s="29"/>
      <c r="R19" s="133"/>
      <c r="S19" s="26">
        <v>5</v>
      </c>
      <c r="T19" s="27" t="s">
        <v>76</v>
      </c>
      <c r="U19" s="27" t="s">
        <v>76</v>
      </c>
      <c r="V19" s="27" t="s">
        <v>76</v>
      </c>
      <c r="W19" s="27" t="s">
        <v>76</v>
      </c>
      <c r="X19" s="27" t="s">
        <v>76</v>
      </c>
      <c r="Y19" s="27" t="s">
        <v>76</v>
      </c>
      <c r="Z19" s="27" t="s">
        <v>76</v>
      </c>
      <c r="AB19" s="26">
        <v>5</v>
      </c>
      <c r="AC19" s="27" t="s">
        <v>76</v>
      </c>
      <c r="AD19" s="27" t="s">
        <v>76</v>
      </c>
      <c r="AE19" s="27" t="s">
        <v>76</v>
      </c>
      <c r="AF19" s="27" t="s">
        <v>76</v>
      </c>
      <c r="AG19" s="27" t="s">
        <v>76</v>
      </c>
      <c r="AH19" s="27" t="s">
        <v>76</v>
      </c>
      <c r="AI19" s="27" t="s">
        <v>76</v>
      </c>
    </row>
    <row r="20" spans="1:35" x14ac:dyDescent="0.25">
      <c r="A20" s="3">
        <v>20</v>
      </c>
      <c r="B20" s="4" t="s">
        <v>60</v>
      </c>
      <c r="C20" s="5">
        <v>0.57735026918962595</v>
      </c>
      <c r="D20" s="4">
        <v>7</v>
      </c>
      <c r="E20" s="4">
        <v>6</v>
      </c>
      <c r="F20" s="4">
        <v>5</v>
      </c>
      <c r="G20" s="4">
        <v>6</v>
      </c>
      <c r="H20" s="6">
        <v>2551888.1898181466</v>
      </c>
      <c r="I20" s="7">
        <f t="shared" si="0"/>
        <v>2551888.1898181466</v>
      </c>
      <c r="L20" s="29"/>
      <c r="R20" s="133"/>
      <c r="S20" s="26">
        <v>4</v>
      </c>
      <c r="T20" s="27" t="s">
        <v>76</v>
      </c>
      <c r="U20" s="27" t="s">
        <v>76</v>
      </c>
      <c r="V20" s="27" t="s">
        <v>76</v>
      </c>
      <c r="W20" s="27" t="s">
        <v>76</v>
      </c>
      <c r="X20" s="27" t="s">
        <v>76</v>
      </c>
      <c r="Y20" s="27" t="s">
        <v>76</v>
      </c>
      <c r="Z20" s="27" t="s">
        <v>76</v>
      </c>
      <c r="AB20" s="26">
        <v>4</v>
      </c>
      <c r="AC20" s="27" t="s">
        <v>76</v>
      </c>
      <c r="AD20" s="27" t="s">
        <v>76</v>
      </c>
      <c r="AE20" s="27" t="s">
        <v>76</v>
      </c>
      <c r="AF20" s="27" t="s">
        <v>76</v>
      </c>
      <c r="AG20" s="27" t="s">
        <v>76</v>
      </c>
      <c r="AH20" s="27" t="s">
        <v>76</v>
      </c>
      <c r="AI20" s="27" t="s">
        <v>76</v>
      </c>
    </row>
    <row r="21" spans="1:35" x14ac:dyDescent="0.25">
      <c r="A21" s="3">
        <v>21</v>
      </c>
      <c r="B21" s="4" t="s">
        <v>33</v>
      </c>
      <c r="C21" s="5">
        <v>0.57735026918962595</v>
      </c>
      <c r="D21" s="4">
        <v>6</v>
      </c>
      <c r="E21" s="4">
        <v>4</v>
      </c>
      <c r="F21" s="4">
        <v>3</v>
      </c>
      <c r="G21" s="4">
        <v>4</v>
      </c>
      <c r="H21" s="6">
        <v>233364.97880644683</v>
      </c>
      <c r="I21" s="7">
        <f t="shared" si="0"/>
        <v>233364.97880644683</v>
      </c>
      <c r="R21" s="133"/>
      <c r="S21" s="26">
        <v>3</v>
      </c>
      <c r="T21" s="27" t="s">
        <v>76</v>
      </c>
      <c r="U21" s="27" t="s">
        <v>76</v>
      </c>
      <c r="V21" s="27">
        <v>1</v>
      </c>
      <c r="W21" s="27" t="s">
        <v>76</v>
      </c>
      <c r="X21" s="27" t="s">
        <v>76</v>
      </c>
      <c r="Y21" s="27" t="s">
        <v>76</v>
      </c>
      <c r="Z21" s="27" t="s">
        <v>76</v>
      </c>
      <c r="AB21" s="26">
        <v>3</v>
      </c>
      <c r="AC21" s="27" t="s">
        <v>76</v>
      </c>
      <c r="AD21" s="27" t="s">
        <v>76</v>
      </c>
      <c r="AE21" s="27">
        <v>1</v>
      </c>
      <c r="AF21" s="27" t="s">
        <v>76</v>
      </c>
      <c r="AG21" s="27" t="s">
        <v>76</v>
      </c>
      <c r="AH21" s="27" t="s">
        <v>76</v>
      </c>
      <c r="AI21" s="27" t="s">
        <v>76</v>
      </c>
    </row>
    <row r="22" spans="1:35" x14ac:dyDescent="0.25">
      <c r="A22" s="3">
        <v>22</v>
      </c>
      <c r="B22" s="4" t="s">
        <v>34</v>
      </c>
      <c r="C22" s="5">
        <v>5.7735026918962602E-2</v>
      </c>
      <c r="D22" s="4">
        <v>6</v>
      </c>
      <c r="E22" s="4">
        <v>5</v>
      </c>
      <c r="F22" s="4">
        <v>5</v>
      </c>
      <c r="G22" s="4">
        <v>6</v>
      </c>
      <c r="H22" s="6">
        <v>36950.417228136066</v>
      </c>
      <c r="I22" s="7">
        <f t="shared" si="0"/>
        <v>36950.417228136066</v>
      </c>
      <c r="L22" s="29"/>
      <c r="R22" s="133"/>
      <c r="S22" s="26">
        <v>2</v>
      </c>
      <c r="T22" s="27" t="s">
        <v>76</v>
      </c>
      <c r="U22" s="27" t="s">
        <v>76</v>
      </c>
      <c r="V22" s="27" t="s">
        <v>76</v>
      </c>
      <c r="W22" s="27" t="s">
        <v>76</v>
      </c>
      <c r="X22" s="27" t="s">
        <v>76</v>
      </c>
      <c r="Y22" s="27" t="s">
        <v>76</v>
      </c>
      <c r="Z22" s="27" t="s">
        <v>76</v>
      </c>
      <c r="AB22" s="26">
        <v>2</v>
      </c>
      <c r="AC22" s="27" t="s">
        <v>76</v>
      </c>
      <c r="AD22" s="27" t="s">
        <v>76</v>
      </c>
      <c r="AE22" s="27" t="s">
        <v>76</v>
      </c>
      <c r="AF22" s="27" t="s">
        <v>76</v>
      </c>
      <c r="AG22" s="27" t="s">
        <v>76</v>
      </c>
      <c r="AH22" s="27" t="s">
        <v>76</v>
      </c>
      <c r="AI22" s="27" t="s">
        <v>76</v>
      </c>
    </row>
    <row r="23" spans="1:35" x14ac:dyDescent="0.25">
      <c r="A23" s="3">
        <v>23</v>
      </c>
      <c r="B23" s="4" t="s">
        <v>35</v>
      </c>
      <c r="C23" s="5">
        <v>5.7735026918962602E-2</v>
      </c>
      <c r="D23" s="4">
        <v>5</v>
      </c>
      <c r="E23" s="4">
        <v>3</v>
      </c>
      <c r="F23" s="4">
        <v>3</v>
      </c>
      <c r="G23" s="4">
        <v>3</v>
      </c>
      <c r="H23" s="6">
        <v>2344.0420929098818</v>
      </c>
      <c r="I23" s="7">
        <f t="shared" si="0"/>
        <v>2344.0420929098818</v>
      </c>
      <c r="L23" s="29"/>
      <c r="R23" s="133"/>
      <c r="S23" s="26">
        <v>1</v>
      </c>
      <c r="T23" s="27" t="s">
        <v>76</v>
      </c>
      <c r="U23" s="27" t="s">
        <v>76</v>
      </c>
      <c r="V23" s="27" t="s">
        <v>76</v>
      </c>
      <c r="W23" s="27" t="s">
        <v>76</v>
      </c>
      <c r="X23" s="27" t="s">
        <v>76</v>
      </c>
      <c r="Y23" s="27" t="s">
        <v>76</v>
      </c>
      <c r="Z23" s="27" t="s">
        <v>76</v>
      </c>
      <c r="AB23" s="26">
        <v>1</v>
      </c>
      <c r="AC23" s="27" t="s">
        <v>76</v>
      </c>
      <c r="AD23" s="27" t="s">
        <v>76</v>
      </c>
      <c r="AE23" s="27" t="s">
        <v>76</v>
      </c>
      <c r="AF23" s="27" t="s">
        <v>76</v>
      </c>
      <c r="AG23" s="27" t="s">
        <v>76</v>
      </c>
      <c r="AH23" s="27" t="s">
        <v>76</v>
      </c>
      <c r="AI23" s="27" t="s">
        <v>76</v>
      </c>
    </row>
    <row r="24" spans="1:35" x14ac:dyDescent="0.25">
      <c r="A24" s="3">
        <v>24</v>
      </c>
      <c r="B24" s="4" t="s">
        <v>37</v>
      </c>
      <c r="C24" s="5">
        <v>1.8257418583505498E-2</v>
      </c>
      <c r="D24" s="4">
        <v>5</v>
      </c>
      <c r="E24" s="4">
        <v>5</v>
      </c>
      <c r="F24" s="4">
        <v>5</v>
      </c>
      <c r="G24" s="4">
        <v>5</v>
      </c>
      <c r="H24" s="6">
        <v>1825.74185835055</v>
      </c>
      <c r="I24" s="7">
        <f t="shared" si="0"/>
        <v>1825.74185835055</v>
      </c>
      <c r="T24" s="28">
        <v>1</v>
      </c>
      <c r="U24" s="28">
        <v>2</v>
      </c>
      <c r="V24" s="28">
        <v>3</v>
      </c>
      <c r="W24" s="28">
        <v>4</v>
      </c>
      <c r="X24" s="28">
        <v>5</v>
      </c>
      <c r="Y24" s="28">
        <v>6</v>
      </c>
      <c r="Z24" s="28">
        <v>7</v>
      </c>
      <c r="AC24" s="28">
        <v>1</v>
      </c>
      <c r="AD24" s="28">
        <v>2</v>
      </c>
      <c r="AE24" s="28">
        <v>3</v>
      </c>
      <c r="AF24" s="28">
        <v>4</v>
      </c>
      <c r="AG24" s="28">
        <v>5</v>
      </c>
      <c r="AH24" s="28">
        <v>6</v>
      </c>
      <c r="AI24" s="28">
        <v>7</v>
      </c>
    </row>
    <row r="25" spans="1:35" x14ac:dyDescent="0.25">
      <c r="A25" s="3">
        <v>25</v>
      </c>
      <c r="B25" s="4" t="s">
        <v>40</v>
      </c>
      <c r="C25" s="5">
        <v>5.7735026918962602E-2</v>
      </c>
      <c r="D25" s="4">
        <v>5</v>
      </c>
      <c r="E25" s="4">
        <v>6</v>
      </c>
      <c r="F25" s="4">
        <v>4</v>
      </c>
      <c r="G25" s="4">
        <v>4</v>
      </c>
      <c r="H25" s="6">
        <v>14087.346568226876</v>
      </c>
      <c r="I25" s="7">
        <f t="shared" si="0"/>
        <v>14087.346568226876</v>
      </c>
      <c r="T25" s="134" t="s">
        <v>48</v>
      </c>
      <c r="U25" s="134"/>
      <c r="V25" s="134"/>
      <c r="W25" s="134"/>
      <c r="X25" s="134"/>
      <c r="Y25" s="134"/>
      <c r="Z25" s="134"/>
      <c r="AC25" s="134" t="s">
        <v>48</v>
      </c>
      <c r="AD25" s="134"/>
      <c r="AE25" s="134"/>
      <c r="AF25" s="134"/>
      <c r="AG25" s="134"/>
      <c r="AH25" s="134"/>
      <c r="AI25" s="134"/>
    </row>
    <row r="26" spans="1:35" x14ac:dyDescent="0.25">
      <c r="A26" s="3">
        <v>26</v>
      </c>
      <c r="B26" s="4" t="s">
        <v>46</v>
      </c>
      <c r="C26" s="5">
        <v>0.57735026918962595</v>
      </c>
      <c r="D26" s="4">
        <v>6</v>
      </c>
      <c r="E26" s="4">
        <v>4</v>
      </c>
      <c r="F26" s="4">
        <v>3</v>
      </c>
      <c r="G26" s="4">
        <v>4</v>
      </c>
      <c r="H26" s="6">
        <v>233364.97880644683</v>
      </c>
      <c r="I26" s="7">
        <f t="shared" si="0"/>
        <v>233364.97880644683</v>
      </c>
    </row>
    <row r="27" spans="1:35" ht="18" x14ac:dyDescent="0.25">
      <c r="A27" s="3">
        <v>27</v>
      </c>
      <c r="B27" s="4" t="s">
        <v>47</v>
      </c>
      <c r="C27" s="5">
        <v>1.8257418583505498E-2</v>
      </c>
      <c r="D27" s="4">
        <v>6</v>
      </c>
      <c r="E27" s="4">
        <v>4</v>
      </c>
      <c r="F27" s="4">
        <v>5</v>
      </c>
      <c r="G27" s="4">
        <v>6</v>
      </c>
      <c r="H27" s="6">
        <v>11356.11435894042</v>
      </c>
      <c r="I27" s="7">
        <f t="shared" si="0"/>
        <v>11356.11435894042</v>
      </c>
      <c r="T27" s="9" t="s">
        <v>61</v>
      </c>
    </row>
    <row r="28" spans="1:35" x14ac:dyDescent="0.25">
      <c r="A28" s="3">
        <v>28</v>
      </c>
      <c r="B28" s="4" t="s">
        <v>49</v>
      </c>
      <c r="C28" s="5">
        <v>5.7735026918962602E-2</v>
      </c>
      <c r="D28" s="4">
        <v>5</v>
      </c>
      <c r="E28" s="4">
        <v>3</v>
      </c>
      <c r="F28" s="4">
        <v>3</v>
      </c>
      <c r="G28" s="4">
        <v>3</v>
      </c>
      <c r="H28" s="6">
        <v>2344.04209290988</v>
      </c>
      <c r="I28" s="7">
        <f t="shared" si="0"/>
        <v>2344.0420929098818</v>
      </c>
      <c r="T28" s="135" t="s">
        <v>17</v>
      </c>
      <c r="U28" s="135"/>
      <c r="V28" s="135"/>
      <c r="W28" s="135"/>
      <c r="X28" s="135"/>
      <c r="Y28" s="135"/>
      <c r="Z28" s="135"/>
      <c r="AC28" s="135" t="s">
        <v>19</v>
      </c>
      <c r="AD28" s="135"/>
      <c r="AE28" s="135"/>
      <c r="AF28" s="135"/>
      <c r="AG28" s="135"/>
      <c r="AH28" s="135"/>
      <c r="AI28" s="135"/>
    </row>
    <row r="29" spans="1:35" x14ac:dyDescent="0.25">
      <c r="B29" s="4" t="s">
        <v>59</v>
      </c>
      <c r="C29" s="5">
        <v>5.7735026918962602E-2</v>
      </c>
      <c r="D29" s="4">
        <v>4</v>
      </c>
      <c r="E29" s="4">
        <v>1</v>
      </c>
      <c r="F29" s="4">
        <v>5</v>
      </c>
      <c r="G29" s="4">
        <v>4</v>
      </c>
      <c r="H29" s="6">
        <v>1501.2261699468656</v>
      </c>
      <c r="I29" s="7">
        <f t="shared" si="0"/>
        <v>1501.2261699468656</v>
      </c>
      <c r="R29" s="133" t="s">
        <v>1</v>
      </c>
      <c r="S29" s="26">
        <v>7</v>
      </c>
      <c r="T29" s="27" t="s">
        <v>76</v>
      </c>
      <c r="U29" s="27" t="s">
        <v>76</v>
      </c>
      <c r="V29" s="27" t="s">
        <v>76</v>
      </c>
      <c r="W29" s="27" t="s">
        <v>76</v>
      </c>
      <c r="X29" s="27" t="s">
        <v>76</v>
      </c>
      <c r="Y29" s="27" t="s">
        <v>76</v>
      </c>
      <c r="Z29" s="27" t="s">
        <v>76</v>
      </c>
      <c r="AB29" s="26">
        <v>7</v>
      </c>
      <c r="AC29" s="27" t="s">
        <v>76</v>
      </c>
      <c r="AD29" s="27" t="s">
        <v>76</v>
      </c>
      <c r="AE29" s="27" t="s">
        <v>76</v>
      </c>
      <c r="AF29" s="27" t="s">
        <v>76</v>
      </c>
      <c r="AG29" s="27" t="s">
        <v>76</v>
      </c>
      <c r="AH29" s="27" t="s">
        <v>76</v>
      </c>
      <c r="AI29" s="27" t="s">
        <v>76</v>
      </c>
    </row>
    <row r="30" spans="1:35" x14ac:dyDescent="0.25">
      <c r="R30" s="133"/>
      <c r="S30" s="26">
        <v>6</v>
      </c>
      <c r="T30" s="27" t="s">
        <v>76</v>
      </c>
      <c r="U30" s="27" t="s">
        <v>76</v>
      </c>
      <c r="V30" s="27" t="s">
        <v>76</v>
      </c>
      <c r="W30" s="27" t="s">
        <v>76</v>
      </c>
      <c r="X30" s="27" t="s">
        <v>76</v>
      </c>
      <c r="Y30" s="27" t="s">
        <v>76</v>
      </c>
      <c r="Z30" s="27" t="s">
        <v>76</v>
      </c>
      <c r="AB30" s="26">
        <v>6</v>
      </c>
      <c r="AC30" s="27" t="s">
        <v>76</v>
      </c>
      <c r="AD30" s="27" t="s">
        <v>76</v>
      </c>
      <c r="AE30" s="27" t="s">
        <v>76</v>
      </c>
      <c r="AF30" s="27" t="s">
        <v>76</v>
      </c>
      <c r="AG30" s="27" t="s">
        <v>76</v>
      </c>
      <c r="AH30" s="27" t="s">
        <v>76</v>
      </c>
      <c r="AI30" s="27" t="s">
        <v>76</v>
      </c>
    </row>
    <row r="31" spans="1:35" x14ac:dyDescent="0.25">
      <c r="R31" s="133"/>
      <c r="S31" s="26">
        <v>5</v>
      </c>
      <c r="T31" s="27" t="s">
        <v>76</v>
      </c>
      <c r="U31" s="27" t="s">
        <v>76</v>
      </c>
      <c r="V31" s="27" t="s">
        <v>76</v>
      </c>
      <c r="W31" s="27" t="s">
        <v>76</v>
      </c>
      <c r="X31" s="27" t="s">
        <v>76</v>
      </c>
      <c r="Y31" s="27" t="s">
        <v>76</v>
      </c>
      <c r="Z31" s="27" t="s">
        <v>76</v>
      </c>
      <c r="AB31" s="26">
        <v>5</v>
      </c>
      <c r="AC31" s="27" t="s">
        <v>76</v>
      </c>
      <c r="AD31" s="27" t="s">
        <v>76</v>
      </c>
      <c r="AE31" s="27" t="s">
        <v>76</v>
      </c>
      <c r="AF31" s="27" t="s">
        <v>76</v>
      </c>
      <c r="AG31" s="27" t="s">
        <v>76</v>
      </c>
      <c r="AH31" s="27" t="s">
        <v>76</v>
      </c>
      <c r="AI31" s="27" t="s">
        <v>76</v>
      </c>
    </row>
    <row r="32" spans="1:35" x14ac:dyDescent="0.25">
      <c r="R32" s="133"/>
      <c r="S32" s="26">
        <v>4</v>
      </c>
      <c r="T32" s="27" t="s">
        <v>76</v>
      </c>
      <c r="U32" s="27" t="s">
        <v>76</v>
      </c>
      <c r="V32" s="27" t="s">
        <v>76</v>
      </c>
      <c r="W32" s="27" t="s">
        <v>76</v>
      </c>
      <c r="X32" s="27" t="s">
        <v>76</v>
      </c>
      <c r="Y32" s="27" t="s">
        <v>76</v>
      </c>
      <c r="Z32" s="27" t="s">
        <v>76</v>
      </c>
      <c r="AB32" s="26">
        <v>4</v>
      </c>
      <c r="AC32" s="27" t="s">
        <v>76</v>
      </c>
      <c r="AD32" s="27" t="s">
        <v>76</v>
      </c>
      <c r="AE32" s="27" t="s">
        <v>76</v>
      </c>
      <c r="AF32" s="27" t="s">
        <v>76</v>
      </c>
      <c r="AG32" s="27" t="s">
        <v>76</v>
      </c>
      <c r="AH32" s="27" t="s">
        <v>76</v>
      </c>
      <c r="AI32" s="27" t="s">
        <v>76</v>
      </c>
    </row>
    <row r="33" spans="18:35" x14ac:dyDescent="0.25">
      <c r="R33" s="133"/>
      <c r="S33" s="26">
        <v>3</v>
      </c>
      <c r="T33" s="27" t="s">
        <v>76</v>
      </c>
      <c r="U33" s="27" t="s">
        <v>76</v>
      </c>
      <c r="V33" s="27" t="s">
        <v>76</v>
      </c>
      <c r="W33" s="27" t="s">
        <v>76</v>
      </c>
      <c r="X33" s="27">
        <v>1</v>
      </c>
      <c r="Y33" s="27" t="s">
        <v>76</v>
      </c>
      <c r="Z33" s="27" t="s">
        <v>76</v>
      </c>
      <c r="AB33" s="26">
        <v>3</v>
      </c>
      <c r="AC33" s="27" t="s">
        <v>76</v>
      </c>
      <c r="AD33" s="27" t="s">
        <v>76</v>
      </c>
      <c r="AE33" s="27">
        <v>1</v>
      </c>
      <c r="AF33" s="27" t="s">
        <v>76</v>
      </c>
      <c r="AG33" s="27" t="s">
        <v>76</v>
      </c>
      <c r="AH33" s="27" t="s">
        <v>76</v>
      </c>
      <c r="AI33" s="27" t="s">
        <v>76</v>
      </c>
    </row>
    <row r="34" spans="18:35" x14ac:dyDescent="0.25">
      <c r="R34" s="133"/>
      <c r="S34" s="26">
        <v>2</v>
      </c>
      <c r="T34" s="27" t="s">
        <v>76</v>
      </c>
      <c r="U34" s="27" t="s">
        <v>76</v>
      </c>
      <c r="V34" s="27" t="s">
        <v>76</v>
      </c>
      <c r="W34" s="27" t="s">
        <v>76</v>
      </c>
      <c r="X34" s="27" t="s">
        <v>76</v>
      </c>
      <c r="Y34" s="27" t="s">
        <v>76</v>
      </c>
      <c r="Z34" s="27" t="s">
        <v>76</v>
      </c>
      <c r="AB34" s="26">
        <v>2</v>
      </c>
      <c r="AC34" s="27" t="s">
        <v>76</v>
      </c>
      <c r="AD34" s="27" t="s">
        <v>76</v>
      </c>
      <c r="AE34" s="27" t="s">
        <v>76</v>
      </c>
      <c r="AF34" s="27" t="s">
        <v>76</v>
      </c>
      <c r="AG34" s="27" t="s">
        <v>76</v>
      </c>
      <c r="AH34" s="27" t="s">
        <v>76</v>
      </c>
      <c r="AI34" s="27" t="s">
        <v>76</v>
      </c>
    </row>
    <row r="35" spans="18:35" x14ac:dyDescent="0.25">
      <c r="R35" s="133"/>
      <c r="S35" s="26">
        <v>1</v>
      </c>
      <c r="T35" s="27" t="s">
        <v>76</v>
      </c>
      <c r="U35" s="27" t="s">
        <v>76</v>
      </c>
      <c r="V35" s="27" t="s">
        <v>76</v>
      </c>
      <c r="W35" s="27" t="s">
        <v>76</v>
      </c>
      <c r="X35" s="27" t="s">
        <v>76</v>
      </c>
      <c r="Y35" s="27" t="s">
        <v>76</v>
      </c>
      <c r="Z35" s="27" t="s">
        <v>76</v>
      </c>
      <c r="AB35" s="26">
        <v>1</v>
      </c>
      <c r="AC35" s="27" t="s">
        <v>76</v>
      </c>
      <c r="AD35" s="27" t="s">
        <v>76</v>
      </c>
      <c r="AE35" s="27" t="s">
        <v>76</v>
      </c>
      <c r="AF35" s="27" t="s">
        <v>76</v>
      </c>
      <c r="AG35" s="27" t="s">
        <v>76</v>
      </c>
      <c r="AH35" s="27" t="s">
        <v>76</v>
      </c>
      <c r="AI35" s="27" t="s">
        <v>76</v>
      </c>
    </row>
    <row r="36" spans="18:35" x14ac:dyDescent="0.25">
      <c r="T36" s="28">
        <v>1</v>
      </c>
      <c r="U36" s="28">
        <v>2</v>
      </c>
      <c r="V36" s="28">
        <v>3</v>
      </c>
      <c r="W36" s="28">
        <v>4</v>
      </c>
      <c r="X36" s="28">
        <v>5</v>
      </c>
      <c r="Y36" s="28">
        <v>6</v>
      </c>
      <c r="Z36" s="28">
        <v>7</v>
      </c>
      <c r="AC36" s="28">
        <v>1</v>
      </c>
      <c r="AD36" s="28">
        <v>2</v>
      </c>
      <c r="AE36" s="28">
        <v>3</v>
      </c>
      <c r="AF36" s="28">
        <v>4</v>
      </c>
      <c r="AG36" s="28">
        <v>5</v>
      </c>
      <c r="AH36" s="28">
        <v>6</v>
      </c>
      <c r="AI36" s="28">
        <v>7</v>
      </c>
    </row>
    <row r="37" spans="18:35" x14ac:dyDescent="0.25">
      <c r="T37" s="134" t="s">
        <v>48</v>
      </c>
      <c r="U37" s="134"/>
      <c r="V37" s="134"/>
      <c r="W37" s="134"/>
      <c r="X37" s="134"/>
      <c r="Y37" s="134"/>
      <c r="Z37" s="134"/>
      <c r="AC37" s="134" t="s">
        <v>48</v>
      </c>
      <c r="AD37" s="134"/>
      <c r="AE37" s="134"/>
      <c r="AF37" s="134"/>
      <c r="AG37" s="134"/>
      <c r="AH37" s="134"/>
      <c r="AI37" s="134"/>
    </row>
    <row r="39" spans="18:35" x14ac:dyDescent="0.25">
      <c r="T39" s="135" t="s">
        <v>18</v>
      </c>
      <c r="U39" s="135"/>
      <c r="V39" s="135"/>
      <c r="W39" s="135"/>
      <c r="X39" s="135"/>
      <c r="Y39" s="135"/>
      <c r="Z39" s="135"/>
      <c r="AC39" s="135" t="s">
        <v>51</v>
      </c>
      <c r="AD39" s="135"/>
      <c r="AE39" s="135"/>
      <c r="AF39" s="135"/>
      <c r="AG39" s="135"/>
      <c r="AH39" s="135"/>
      <c r="AI39" s="135"/>
    </row>
    <row r="40" spans="18:35" x14ac:dyDescent="0.25">
      <c r="R40" s="133" t="s">
        <v>1</v>
      </c>
      <c r="S40" s="26">
        <v>7</v>
      </c>
      <c r="T40" s="27" t="s">
        <v>76</v>
      </c>
      <c r="U40" s="27" t="s">
        <v>76</v>
      </c>
      <c r="V40" s="27" t="s">
        <v>76</v>
      </c>
      <c r="W40" s="27" t="s">
        <v>76</v>
      </c>
      <c r="X40" s="27" t="s">
        <v>76</v>
      </c>
      <c r="Y40" s="27" t="s">
        <v>76</v>
      </c>
      <c r="Z40" s="27" t="s">
        <v>76</v>
      </c>
      <c r="AB40" s="26">
        <v>7</v>
      </c>
      <c r="AC40" s="27" t="s">
        <v>76</v>
      </c>
      <c r="AD40" s="27" t="s">
        <v>76</v>
      </c>
      <c r="AE40" s="27" t="s">
        <v>76</v>
      </c>
      <c r="AF40" s="27" t="s">
        <v>76</v>
      </c>
      <c r="AG40" s="27" t="s">
        <v>76</v>
      </c>
      <c r="AH40" s="27" t="s">
        <v>76</v>
      </c>
      <c r="AI40" s="27" t="s">
        <v>76</v>
      </c>
    </row>
    <row r="41" spans="18:35" x14ac:dyDescent="0.25">
      <c r="R41" s="133"/>
      <c r="S41" s="26">
        <v>6</v>
      </c>
      <c r="T41" s="27" t="s">
        <v>76</v>
      </c>
      <c r="U41" s="27" t="s">
        <v>76</v>
      </c>
      <c r="V41" s="27" t="s">
        <v>76</v>
      </c>
      <c r="W41" s="27" t="s">
        <v>76</v>
      </c>
      <c r="X41" s="27" t="s">
        <v>76</v>
      </c>
      <c r="Y41" s="27" t="s">
        <v>76</v>
      </c>
      <c r="Z41" s="27" t="s">
        <v>76</v>
      </c>
      <c r="AB41" s="26">
        <v>6</v>
      </c>
      <c r="AC41" s="27" t="s">
        <v>76</v>
      </c>
      <c r="AD41" s="27" t="s">
        <v>76</v>
      </c>
      <c r="AE41" s="27" t="s">
        <v>76</v>
      </c>
      <c r="AF41" s="27" t="s">
        <v>76</v>
      </c>
      <c r="AG41" s="27" t="s">
        <v>76</v>
      </c>
      <c r="AH41" s="27" t="s">
        <v>76</v>
      </c>
      <c r="AI41" s="27" t="s">
        <v>76</v>
      </c>
    </row>
    <row r="42" spans="18:35" x14ac:dyDescent="0.25">
      <c r="R42" s="133"/>
      <c r="S42" s="26">
        <v>5</v>
      </c>
      <c r="T42" s="27" t="s">
        <v>76</v>
      </c>
      <c r="U42" s="27" t="s">
        <v>76</v>
      </c>
      <c r="V42" s="27" t="s">
        <v>76</v>
      </c>
      <c r="W42" s="27" t="s">
        <v>76</v>
      </c>
      <c r="X42" s="27" t="s">
        <v>76</v>
      </c>
      <c r="Y42" s="27" t="s">
        <v>76</v>
      </c>
      <c r="Z42" s="27" t="s">
        <v>76</v>
      </c>
      <c r="AB42" s="26">
        <v>5</v>
      </c>
      <c r="AC42" s="27" t="s">
        <v>76</v>
      </c>
      <c r="AD42" s="27" t="s">
        <v>76</v>
      </c>
      <c r="AE42" s="27" t="s">
        <v>76</v>
      </c>
      <c r="AF42" s="27" t="s">
        <v>76</v>
      </c>
      <c r="AG42" s="27" t="s">
        <v>76</v>
      </c>
      <c r="AH42" s="27" t="s">
        <v>76</v>
      </c>
      <c r="AI42" s="27" t="s">
        <v>76</v>
      </c>
    </row>
    <row r="43" spans="18:35" x14ac:dyDescent="0.25">
      <c r="R43" s="133"/>
      <c r="S43" s="26">
        <v>4</v>
      </c>
      <c r="T43" s="27" t="s">
        <v>76</v>
      </c>
      <c r="U43" s="27" t="s">
        <v>76</v>
      </c>
      <c r="V43" s="27" t="s">
        <v>76</v>
      </c>
      <c r="W43" s="27" t="s">
        <v>76</v>
      </c>
      <c r="X43" s="27" t="s">
        <v>76</v>
      </c>
      <c r="Y43" s="27" t="s">
        <v>76</v>
      </c>
      <c r="Z43" s="27" t="s">
        <v>76</v>
      </c>
      <c r="AB43" s="26">
        <v>4</v>
      </c>
      <c r="AC43" s="27" t="s">
        <v>76</v>
      </c>
      <c r="AD43" s="27" t="s">
        <v>76</v>
      </c>
      <c r="AE43" s="27" t="s">
        <v>76</v>
      </c>
      <c r="AF43" s="27" t="s">
        <v>76</v>
      </c>
      <c r="AG43" s="27" t="s">
        <v>76</v>
      </c>
      <c r="AH43" s="27" t="s">
        <v>76</v>
      </c>
      <c r="AI43" s="27" t="s">
        <v>76</v>
      </c>
    </row>
    <row r="44" spans="18:35" x14ac:dyDescent="0.25">
      <c r="R44" s="133"/>
      <c r="S44" s="26">
        <v>3</v>
      </c>
      <c r="T44" s="27" t="s">
        <v>76</v>
      </c>
      <c r="U44" s="27" t="s">
        <v>76</v>
      </c>
      <c r="V44" s="27">
        <v>1</v>
      </c>
      <c r="W44" s="27" t="s">
        <v>76</v>
      </c>
      <c r="X44" s="27" t="s">
        <v>76</v>
      </c>
      <c r="Y44" s="27" t="s">
        <v>76</v>
      </c>
      <c r="Z44" s="27" t="s">
        <v>76</v>
      </c>
      <c r="AB44" s="26">
        <v>3</v>
      </c>
      <c r="AC44" s="27" t="s">
        <v>76</v>
      </c>
      <c r="AD44" s="27" t="s">
        <v>76</v>
      </c>
      <c r="AE44" s="27">
        <v>1</v>
      </c>
      <c r="AF44" s="27" t="s">
        <v>76</v>
      </c>
      <c r="AG44" s="27" t="s">
        <v>76</v>
      </c>
      <c r="AH44" s="27" t="s">
        <v>76</v>
      </c>
      <c r="AI44" s="27" t="s">
        <v>76</v>
      </c>
    </row>
    <row r="45" spans="18:35" x14ac:dyDescent="0.25">
      <c r="R45" s="133"/>
      <c r="S45" s="26">
        <v>2</v>
      </c>
      <c r="T45" s="27" t="s">
        <v>76</v>
      </c>
      <c r="U45" s="27" t="s">
        <v>76</v>
      </c>
      <c r="V45" s="27" t="s">
        <v>76</v>
      </c>
      <c r="W45" s="27" t="s">
        <v>76</v>
      </c>
      <c r="X45" s="27" t="s">
        <v>76</v>
      </c>
      <c r="Y45" s="27" t="s">
        <v>76</v>
      </c>
      <c r="Z45" s="27" t="s">
        <v>76</v>
      </c>
      <c r="AB45" s="26">
        <v>2</v>
      </c>
      <c r="AC45" s="27" t="s">
        <v>76</v>
      </c>
      <c r="AD45" s="27" t="s">
        <v>76</v>
      </c>
      <c r="AE45" s="27" t="s">
        <v>76</v>
      </c>
      <c r="AF45" s="27" t="s">
        <v>76</v>
      </c>
      <c r="AG45" s="27" t="s">
        <v>76</v>
      </c>
      <c r="AH45" s="27" t="s">
        <v>76</v>
      </c>
      <c r="AI45" s="27" t="s">
        <v>76</v>
      </c>
    </row>
    <row r="46" spans="18:35" x14ac:dyDescent="0.25">
      <c r="R46" s="133"/>
      <c r="S46" s="26">
        <v>1</v>
      </c>
      <c r="T46" s="27" t="s">
        <v>76</v>
      </c>
      <c r="U46" s="27" t="s">
        <v>76</v>
      </c>
      <c r="V46" s="27" t="s">
        <v>76</v>
      </c>
      <c r="W46" s="27" t="s">
        <v>76</v>
      </c>
      <c r="X46" s="27" t="s">
        <v>76</v>
      </c>
      <c r="Y46" s="27" t="s">
        <v>76</v>
      </c>
      <c r="Z46" s="27" t="s">
        <v>76</v>
      </c>
      <c r="AB46" s="26">
        <v>1</v>
      </c>
      <c r="AC46" s="27" t="s">
        <v>76</v>
      </c>
      <c r="AD46" s="27" t="s">
        <v>76</v>
      </c>
      <c r="AE46" s="27" t="s">
        <v>76</v>
      </c>
      <c r="AF46" s="27" t="s">
        <v>76</v>
      </c>
      <c r="AG46" s="27" t="s">
        <v>76</v>
      </c>
      <c r="AH46" s="27" t="s">
        <v>76</v>
      </c>
      <c r="AI46" s="27" t="s">
        <v>76</v>
      </c>
    </row>
    <row r="47" spans="18:35" x14ac:dyDescent="0.25">
      <c r="T47" s="28">
        <v>1</v>
      </c>
      <c r="U47" s="28">
        <v>2</v>
      </c>
      <c r="V47" s="28">
        <v>3</v>
      </c>
      <c r="W47" s="28">
        <v>4</v>
      </c>
      <c r="X47" s="28">
        <v>5</v>
      </c>
      <c r="Y47" s="28">
        <v>6</v>
      </c>
      <c r="Z47" s="28">
        <v>7</v>
      </c>
      <c r="AC47" s="28">
        <v>1</v>
      </c>
      <c r="AD47" s="28">
        <v>2</v>
      </c>
      <c r="AE47" s="28">
        <v>3</v>
      </c>
      <c r="AF47" s="28">
        <v>4</v>
      </c>
      <c r="AG47" s="28">
        <v>5</v>
      </c>
      <c r="AH47" s="28">
        <v>6</v>
      </c>
      <c r="AI47" s="28">
        <v>7</v>
      </c>
    </row>
    <row r="48" spans="18:35" x14ac:dyDescent="0.25">
      <c r="T48" s="134" t="s">
        <v>48</v>
      </c>
      <c r="U48" s="134"/>
      <c r="V48" s="134"/>
      <c r="W48" s="134"/>
      <c r="X48" s="134"/>
      <c r="Y48" s="134"/>
      <c r="Z48" s="134"/>
      <c r="AC48" s="134" t="s">
        <v>48</v>
      </c>
      <c r="AD48" s="134"/>
      <c r="AE48" s="134"/>
      <c r="AF48" s="134"/>
      <c r="AG48" s="134"/>
      <c r="AH48" s="134"/>
      <c r="AI48" s="134"/>
    </row>
  </sheetData>
  <sheetProtection algorithmName="SHA-512" hashValue="ZfZC8t0eEbhDWy3uYPQHXFTX9VlwyF3BZOROLCjiZIrz6u/a/XU+DUBKjxTZEDk4bnrEy7RMgJ/zroUvLVAsvQ==" saltValue="RbnTpC8z8GuhpGeERtkmgg==" spinCount="100000" sheet="1" objects="1" scenarios="1"/>
  <sortState ref="A2:I28">
    <sortCondition ref="A2"/>
  </sortState>
  <mergeCells count="23">
    <mergeCell ref="T25:Z25"/>
    <mergeCell ref="AC25:AI25"/>
    <mergeCell ref="K1:L1"/>
    <mergeCell ref="O1:P1"/>
    <mergeCell ref="T5:Z5"/>
    <mergeCell ref="AC5:AI5"/>
    <mergeCell ref="R6:R12"/>
    <mergeCell ref="K10:L10"/>
    <mergeCell ref="T14:Z14"/>
    <mergeCell ref="AC14:AI14"/>
    <mergeCell ref="T16:Z16"/>
    <mergeCell ref="AC16:AI16"/>
    <mergeCell ref="R17:R23"/>
    <mergeCell ref="R40:R46"/>
    <mergeCell ref="T48:Z48"/>
    <mergeCell ref="AC48:AI48"/>
    <mergeCell ref="T28:Z28"/>
    <mergeCell ref="AC28:AI28"/>
    <mergeCell ref="R29:R35"/>
    <mergeCell ref="T37:Z37"/>
    <mergeCell ref="AC37:AI37"/>
    <mergeCell ref="T39:Z39"/>
    <mergeCell ref="AC39:AI39"/>
  </mergeCells>
  <conditionalFormatting sqref="T17:Z23">
    <cfRule type="iconSet" priority="7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6:AI12">
    <cfRule type="iconSet" priority="8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17:AI23">
    <cfRule type="iconSet" priority="6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29:Z35">
    <cfRule type="iconSet" priority="5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29:AI35">
    <cfRule type="iconSet" priority="4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40:Z46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C40:AI46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T6:Z12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Cover Page</vt:lpstr>
      <vt:lpstr>Analysis</vt:lpstr>
      <vt:lpstr>Data</vt:lpstr>
      <vt:lpstr>Reference</vt:lpstr>
      <vt:lpstr>'Cover Page'!Print_Area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Almujahed</dc:creator>
  <cp:lastModifiedBy>York, Jamie K</cp:lastModifiedBy>
  <cp:lastPrinted>2015-11-16T23:20:18Z</cp:lastPrinted>
  <dcterms:created xsi:type="dcterms:W3CDTF">2015-11-11T19:37:07Z</dcterms:created>
  <dcterms:modified xsi:type="dcterms:W3CDTF">2017-01-11T22:25:18Z</dcterms:modified>
</cp:coreProperties>
</file>